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dfw-my.sharepoint.com/personal/paul_hichborn_wildlife_ca_gov/Documents/Desktop/"/>
    </mc:Choice>
  </mc:AlternateContent>
  <xr:revisionPtr revIDLastSave="7" documentId="8_{9190A3D5-5F73-40AD-A4D9-13FDFBD11395}" xr6:coauthVersionLast="47" xr6:coauthVersionMax="47" xr10:uidLastSave="{DB192263-E46F-4D62-8729-2864534396A0}"/>
  <workbookProtection workbookAlgorithmName="SHA-512" workbookHashValue="GOPz/PQ4hHSUo6oEQZdSI4ErL4EoiQNjzeQL6Slwg2FbwuZHPQVi3r5negYR1CFD/Ahi8DkWcAfsuMNux/nVlw==" workbookSaltValue="Vtlyqe6d1cU0wdlaHokplg==" workbookSpinCount="100000" lockStructure="1"/>
  <bookViews>
    <workbookView xWindow="28680" yWindow="-225" windowWidth="29040" windowHeight="15720" xr2:uid="{8A835F4E-A297-484B-8868-2432B26D0B26}"/>
  </bookViews>
  <sheets>
    <sheet name="OSRO MATRIX LEGEND" sheetId="2" r:id="rId1"/>
    <sheet name="OSRO MATRIX" sheetId="3" r:id="rId2"/>
    <sheet name="ExpirationDates" sheetId="11" state="hidden" r:id="rId3"/>
    <sheet name="Revisions Worksheet" sheetId="10"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3" l="1"/>
  <c r="G74" i="3"/>
  <c r="G75" i="3"/>
  <c r="G76" i="3"/>
  <c r="G77" i="3"/>
  <c r="G78" i="3"/>
  <c r="G79" i="3"/>
  <c r="G80" i="3"/>
  <c r="G81" i="3"/>
  <c r="G82" i="3"/>
  <c r="G83" i="3"/>
  <c r="C2" i="11"/>
  <c r="C3" i="11"/>
  <c r="C4" i="11"/>
  <c r="C5" i="11"/>
  <c r="C6" i="11"/>
  <c r="C7" i="11"/>
  <c r="C8" i="11"/>
  <c r="C9" i="11"/>
  <c r="C10" i="11"/>
  <c r="C11" i="11"/>
  <c r="C12" i="11"/>
  <c r="C13" i="11"/>
  <c r="C14" i="11"/>
  <c r="E2" i="11"/>
  <c r="E3" i="11"/>
  <c r="E4" i="11"/>
  <c r="E5" i="11"/>
  <c r="E6" i="11"/>
  <c r="E7" i="11"/>
  <c r="E8" i="11"/>
  <c r="E9" i="11"/>
  <c r="E10" i="11"/>
  <c r="E11" i="11"/>
  <c r="E12" i="11"/>
  <c r="E13" i="11"/>
  <c r="E14" i="11"/>
  <c r="G12" i="11" l="1"/>
  <c r="G2" i="11"/>
  <c r="G3" i="11"/>
  <c r="G4" i="11"/>
  <c r="G5" i="11"/>
  <c r="G6" i="11"/>
  <c r="G7" i="11"/>
  <c r="G8" i="11"/>
  <c r="G9" i="11"/>
  <c r="G10" i="11"/>
  <c r="G11" i="11"/>
  <c r="G13" i="11"/>
  <c r="G14" i="11"/>
  <c r="T2" i="11" l="1"/>
  <c r="D2" i="11" l="1"/>
  <c r="D14" i="11"/>
  <c r="D3" i="11"/>
  <c r="D4" i="11"/>
  <c r="D5" i="11"/>
  <c r="D6" i="11"/>
  <c r="D7" i="11"/>
  <c r="D8" i="11"/>
  <c r="D9" i="11"/>
  <c r="D10" i="11"/>
  <c r="D11" i="11"/>
  <c r="D12" i="11"/>
  <c r="D13" i="11"/>
  <c r="F2" i="11"/>
  <c r="F4" i="11"/>
  <c r="F10" i="11"/>
  <c r="H10" i="11"/>
  <c r="F6" i="11"/>
  <c r="F11" i="11"/>
  <c r="H11" i="11"/>
  <c r="F7" i="11"/>
  <c r="F13" i="11"/>
  <c r="H13" i="11"/>
  <c r="F14" i="11"/>
  <c r="H14" i="11"/>
  <c r="H2" i="11"/>
  <c r="F3" i="11"/>
  <c r="H3" i="11"/>
  <c r="F5" i="11"/>
  <c r="F8" i="11"/>
  <c r="H4" i="11"/>
  <c r="F9" i="11"/>
  <c r="H9" i="11"/>
  <c r="F12" i="11"/>
  <c r="H12" i="11"/>
  <c r="H6" i="11"/>
  <c r="H7" i="11"/>
  <c r="H5" i="11"/>
  <c r="H8" i="11"/>
  <c r="H61" i="3"/>
  <c r="G61" i="3"/>
  <c r="F61" i="3"/>
  <c r="E61" i="3"/>
  <c r="D61" i="3"/>
  <c r="C61" i="10"/>
  <c r="C61" i="3" s="1"/>
  <c r="F5" i="3"/>
  <c r="F74" i="3"/>
  <c r="E74" i="3"/>
  <c r="D75" i="3"/>
  <c r="D76" i="3"/>
  <c r="D77" i="3"/>
  <c r="D78" i="3"/>
  <c r="D79" i="3"/>
  <c r="D80" i="3"/>
  <c r="D81" i="3"/>
  <c r="D82" i="3"/>
  <c r="D83" i="3"/>
  <c r="C74" i="3"/>
  <c r="F75" i="3"/>
  <c r="E75" i="3"/>
  <c r="C75" i="10"/>
  <c r="C75" i="3" s="1"/>
  <c r="G3" i="2"/>
  <c r="I88" i="3" l="1"/>
  <c r="I89" i="3"/>
  <c r="I90" i="3"/>
  <c r="I91" i="3"/>
  <c r="I92" i="3"/>
  <c r="I93" i="3"/>
  <c r="I94" i="3"/>
  <c r="I95" i="3"/>
  <c r="I96" i="3"/>
  <c r="H88" i="3"/>
  <c r="H89" i="3"/>
  <c r="H90" i="3"/>
  <c r="H91" i="3"/>
  <c r="H92" i="3"/>
  <c r="H93" i="3"/>
  <c r="H94" i="3"/>
  <c r="H95" i="3"/>
  <c r="H96" i="3"/>
  <c r="G88" i="3"/>
  <c r="G89" i="3"/>
  <c r="G90" i="3"/>
  <c r="G91" i="3"/>
  <c r="G92" i="3"/>
  <c r="G93" i="3"/>
  <c r="G94" i="3"/>
  <c r="G95" i="3"/>
  <c r="G96" i="3"/>
  <c r="F88" i="3"/>
  <c r="F89" i="3"/>
  <c r="F90" i="3"/>
  <c r="F91" i="3"/>
  <c r="F92" i="3"/>
  <c r="F93" i="3"/>
  <c r="F94" i="3"/>
  <c r="F95" i="3"/>
  <c r="F96" i="3"/>
  <c r="E88" i="3"/>
  <c r="E89" i="3"/>
  <c r="E90" i="3"/>
  <c r="E91" i="3"/>
  <c r="E92" i="3"/>
  <c r="E93" i="3"/>
  <c r="E94" i="3"/>
  <c r="E95" i="3"/>
  <c r="E96" i="3"/>
  <c r="D88" i="3"/>
  <c r="D89" i="3"/>
  <c r="D90" i="3"/>
  <c r="D91" i="3"/>
  <c r="D92" i="3"/>
  <c r="D93" i="3"/>
  <c r="D94" i="3"/>
  <c r="D95" i="3"/>
  <c r="D96" i="3"/>
  <c r="F76" i="3"/>
  <c r="F77" i="3"/>
  <c r="F78" i="3"/>
  <c r="F79" i="3"/>
  <c r="F80" i="3"/>
  <c r="F81" i="3"/>
  <c r="F82" i="3"/>
  <c r="F83" i="3"/>
  <c r="E76" i="3"/>
  <c r="E77" i="3"/>
  <c r="E78" i="3"/>
  <c r="E79" i="3"/>
  <c r="E80" i="3"/>
  <c r="E81" i="3"/>
  <c r="E82" i="3"/>
  <c r="E83" i="3"/>
  <c r="H60" i="3"/>
  <c r="H62" i="3"/>
  <c r="H63" i="3"/>
  <c r="H64" i="3"/>
  <c r="H65" i="3"/>
  <c r="H66" i="3"/>
  <c r="H67" i="3"/>
  <c r="H68" i="3"/>
  <c r="H69" i="3"/>
  <c r="G60" i="3"/>
  <c r="G62" i="3"/>
  <c r="G63" i="3"/>
  <c r="G64" i="3"/>
  <c r="G65" i="3"/>
  <c r="G66" i="3"/>
  <c r="G67" i="3"/>
  <c r="G68" i="3"/>
  <c r="G69" i="3"/>
  <c r="F60" i="3"/>
  <c r="F62" i="3"/>
  <c r="F63" i="3"/>
  <c r="F64" i="3"/>
  <c r="F65" i="3"/>
  <c r="F66" i="3"/>
  <c r="F67" i="3"/>
  <c r="F68" i="3"/>
  <c r="F69" i="3"/>
  <c r="E60" i="3"/>
  <c r="E62" i="3"/>
  <c r="E63" i="3"/>
  <c r="E64" i="3"/>
  <c r="E65" i="3"/>
  <c r="E66" i="3"/>
  <c r="E67" i="3"/>
  <c r="E68" i="3"/>
  <c r="E69" i="3"/>
  <c r="D60" i="3"/>
  <c r="D62" i="3"/>
  <c r="D63" i="3"/>
  <c r="D64" i="3"/>
  <c r="D65" i="3"/>
  <c r="D66" i="3"/>
  <c r="D67" i="3"/>
  <c r="D68" i="3"/>
  <c r="D69" i="3"/>
  <c r="I47" i="3"/>
  <c r="I48" i="3"/>
  <c r="I49" i="3"/>
  <c r="I50" i="3"/>
  <c r="I51" i="3"/>
  <c r="I52" i="3"/>
  <c r="I53" i="3"/>
  <c r="I54" i="3"/>
  <c r="I55" i="3"/>
  <c r="H47" i="3"/>
  <c r="H48" i="3"/>
  <c r="H49" i="3"/>
  <c r="H50" i="3"/>
  <c r="H51" i="3"/>
  <c r="H52" i="3"/>
  <c r="H53" i="3"/>
  <c r="H54" i="3"/>
  <c r="H55" i="3"/>
  <c r="G47" i="3"/>
  <c r="G48" i="3"/>
  <c r="G49" i="3"/>
  <c r="G50" i="3"/>
  <c r="G51" i="3"/>
  <c r="G52" i="3"/>
  <c r="G53" i="3"/>
  <c r="G54" i="3"/>
  <c r="G55" i="3"/>
  <c r="F47" i="3"/>
  <c r="F48" i="3"/>
  <c r="F49" i="3"/>
  <c r="F50" i="3"/>
  <c r="F51" i="3"/>
  <c r="F52" i="3"/>
  <c r="F53" i="3"/>
  <c r="F54" i="3"/>
  <c r="F55" i="3"/>
  <c r="E47" i="3"/>
  <c r="E48" i="3"/>
  <c r="E49" i="3"/>
  <c r="E50" i="3"/>
  <c r="E51" i="3"/>
  <c r="E52" i="3"/>
  <c r="E53" i="3"/>
  <c r="E54" i="3"/>
  <c r="E55" i="3"/>
  <c r="D47" i="3"/>
  <c r="D48" i="3"/>
  <c r="D49" i="3"/>
  <c r="D50" i="3"/>
  <c r="D51" i="3"/>
  <c r="D52" i="3"/>
  <c r="D53" i="3"/>
  <c r="D54" i="3"/>
  <c r="D55" i="3"/>
  <c r="I34" i="3"/>
  <c r="I35" i="3"/>
  <c r="I36" i="3"/>
  <c r="I37" i="3"/>
  <c r="I38" i="3"/>
  <c r="I39" i="3"/>
  <c r="I40" i="3"/>
  <c r="I41" i="3"/>
  <c r="I42" i="3"/>
  <c r="H34" i="3"/>
  <c r="H35" i="3"/>
  <c r="H36" i="3"/>
  <c r="H37" i="3"/>
  <c r="H38" i="3"/>
  <c r="H39" i="3"/>
  <c r="H40" i="3"/>
  <c r="H41" i="3"/>
  <c r="H42" i="3"/>
  <c r="G34" i="3"/>
  <c r="G35" i="3"/>
  <c r="G36" i="3"/>
  <c r="G37" i="3"/>
  <c r="G38" i="3"/>
  <c r="G39" i="3"/>
  <c r="G40" i="3"/>
  <c r="G41" i="3"/>
  <c r="G42" i="3"/>
  <c r="F34" i="3"/>
  <c r="F35" i="3"/>
  <c r="F36" i="3"/>
  <c r="F37" i="3"/>
  <c r="F38" i="3"/>
  <c r="F39" i="3"/>
  <c r="F40" i="3"/>
  <c r="F41" i="3"/>
  <c r="F42" i="3"/>
  <c r="E34" i="3"/>
  <c r="E35" i="3"/>
  <c r="E36" i="3"/>
  <c r="E37" i="3"/>
  <c r="E38" i="3"/>
  <c r="E39" i="3"/>
  <c r="E40" i="3"/>
  <c r="E41" i="3"/>
  <c r="E42" i="3"/>
  <c r="D34" i="3"/>
  <c r="D35" i="3"/>
  <c r="D36" i="3"/>
  <c r="D37" i="3"/>
  <c r="D38" i="3"/>
  <c r="D39" i="3"/>
  <c r="D40" i="3"/>
  <c r="D41" i="3"/>
  <c r="D42" i="3"/>
  <c r="D22" i="3"/>
  <c r="E22" i="3"/>
  <c r="F22" i="3"/>
  <c r="G22" i="3"/>
  <c r="H22" i="3"/>
  <c r="I22" i="3"/>
  <c r="D23" i="3"/>
  <c r="E23" i="3"/>
  <c r="F23" i="3"/>
  <c r="G23" i="3"/>
  <c r="H23" i="3"/>
  <c r="I23" i="3"/>
  <c r="D24" i="3"/>
  <c r="E24" i="3"/>
  <c r="F24" i="3"/>
  <c r="G24" i="3"/>
  <c r="H24" i="3"/>
  <c r="I24" i="3"/>
  <c r="D25" i="3"/>
  <c r="E25" i="3"/>
  <c r="F25" i="3"/>
  <c r="G25" i="3"/>
  <c r="H25" i="3"/>
  <c r="I25" i="3"/>
  <c r="D26" i="3"/>
  <c r="E26" i="3"/>
  <c r="F26" i="3"/>
  <c r="G26" i="3"/>
  <c r="H26" i="3"/>
  <c r="I26" i="3"/>
  <c r="D27" i="3"/>
  <c r="E27" i="3"/>
  <c r="F27" i="3"/>
  <c r="G27" i="3"/>
  <c r="H27" i="3"/>
  <c r="I27" i="3"/>
  <c r="D28" i="3"/>
  <c r="E28" i="3"/>
  <c r="F28" i="3"/>
  <c r="G28" i="3"/>
  <c r="H28" i="3"/>
  <c r="I28" i="3"/>
  <c r="D29" i="3"/>
  <c r="E29" i="3"/>
  <c r="F29" i="3"/>
  <c r="G29" i="3"/>
  <c r="H29" i="3"/>
  <c r="I29" i="3"/>
  <c r="I21" i="3"/>
  <c r="H21" i="3"/>
  <c r="G21" i="3"/>
  <c r="F21" i="3"/>
  <c r="E21" i="3"/>
  <c r="D21" i="3"/>
  <c r="D9" i="3"/>
  <c r="E9" i="3"/>
  <c r="F9" i="3"/>
  <c r="G9" i="3"/>
  <c r="H9" i="3"/>
  <c r="D10" i="3"/>
  <c r="E10" i="3"/>
  <c r="F10" i="3"/>
  <c r="G10" i="3"/>
  <c r="H10" i="3"/>
  <c r="D11" i="3"/>
  <c r="E11" i="3"/>
  <c r="F11" i="3"/>
  <c r="G11" i="3"/>
  <c r="H11" i="3"/>
  <c r="D12" i="3"/>
  <c r="E12" i="3"/>
  <c r="F12" i="3"/>
  <c r="G12" i="3"/>
  <c r="H12" i="3"/>
  <c r="D13" i="3"/>
  <c r="E13" i="3"/>
  <c r="F13" i="3"/>
  <c r="G13" i="3"/>
  <c r="H13" i="3"/>
  <c r="D14" i="3"/>
  <c r="E14" i="3"/>
  <c r="F14" i="3"/>
  <c r="G14" i="3"/>
  <c r="H14" i="3"/>
  <c r="D15" i="3"/>
  <c r="E15" i="3"/>
  <c r="F15" i="3"/>
  <c r="G15" i="3"/>
  <c r="H15" i="3"/>
  <c r="D16" i="3"/>
  <c r="E16" i="3"/>
  <c r="F16" i="3"/>
  <c r="G16" i="3"/>
  <c r="H16" i="3"/>
  <c r="H8" i="3"/>
  <c r="G8" i="3"/>
  <c r="F8" i="3"/>
  <c r="E8" i="3"/>
  <c r="D8" i="3"/>
  <c r="C89" i="10"/>
  <c r="C89" i="3" s="1"/>
  <c r="C90" i="10"/>
  <c r="C90" i="3" s="1"/>
  <c r="C91" i="10"/>
  <c r="C91" i="3" s="1"/>
  <c r="C92" i="10"/>
  <c r="C92" i="3" s="1"/>
  <c r="C93" i="10"/>
  <c r="C93" i="3" s="1"/>
  <c r="C94" i="10"/>
  <c r="C94" i="3" s="1"/>
  <c r="C95" i="10"/>
  <c r="C95" i="3" s="1"/>
  <c r="C96" i="10"/>
  <c r="C96" i="3" s="1"/>
  <c r="C88" i="10"/>
  <c r="C88" i="3" s="1"/>
  <c r="C82" i="10"/>
  <c r="C82" i="3" s="1"/>
  <c r="C83" i="10"/>
  <c r="C83" i="3" s="1"/>
  <c r="C76" i="10"/>
  <c r="C76" i="3" s="1"/>
  <c r="C77" i="10"/>
  <c r="C77" i="3" s="1"/>
  <c r="C78" i="10"/>
  <c r="C78" i="3" s="1"/>
  <c r="C79" i="10"/>
  <c r="C79" i="3" s="1"/>
  <c r="C80" i="10"/>
  <c r="C80" i="3" s="1"/>
  <c r="C81" i="10"/>
  <c r="C81" i="3" s="1"/>
  <c r="C62" i="10"/>
  <c r="C62" i="3" s="1"/>
  <c r="C63" i="10"/>
  <c r="C63" i="3" s="1"/>
  <c r="C64" i="10"/>
  <c r="C64" i="3" s="1"/>
  <c r="C65" i="10"/>
  <c r="C65" i="3" s="1"/>
  <c r="C66" i="10"/>
  <c r="C66" i="3" s="1"/>
  <c r="C67" i="10"/>
  <c r="C67" i="3" s="1"/>
  <c r="C68" i="10"/>
  <c r="C68" i="3" s="1"/>
  <c r="C69" i="10"/>
  <c r="C69" i="3" s="1"/>
  <c r="C60" i="3"/>
  <c r="C48" i="10"/>
  <c r="C48" i="3" s="1"/>
  <c r="C49" i="10"/>
  <c r="C49" i="3" s="1"/>
  <c r="C50" i="10"/>
  <c r="C50" i="3" s="1"/>
  <c r="C51" i="10"/>
  <c r="C51" i="3" s="1"/>
  <c r="C52" i="10"/>
  <c r="C52" i="3" s="1"/>
  <c r="C53" i="10"/>
  <c r="C53" i="3" s="1"/>
  <c r="C54" i="10"/>
  <c r="C54" i="3" s="1"/>
  <c r="C55" i="10"/>
  <c r="C55" i="3" s="1"/>
  <c r="C47" i="10"/>
  <c r="C47" i="3" s="1"/>
  <c r="C35" i="10"/>
  <c r="C35" i="3" s="1"/>
  <c r="C36" i="10"/>
  <c r="C36" i="3" s="1"/>
  <c r="C37" i="10"/>
  <c r="C37" i="3" s="1"/>
  <c r="C38" i="10"/>
  <c r="C38" i="3" s="1"/>
  <c r="C39" i="10"/>
  <c r="C39" i="3" s="1"/>
  <c r="C40" i="10"/>
  <c r="C40" i="3" s="1"/>
  <c r="C41" i="10"/>
  <c r="C41" i="3" s="1"/>
  <c r="C42" i="10"/>
  <c r="C42" i="3" s="1"/>
  <c r="C34" i="10"/>
  <c r="C34" i="3" s="1"/>
  <c r="C22" i="10"/>
  <c r="C22" i="3" s="1"/>
  <c r="C23" i="10"/>
  <c r="C23" i="3" s="1"/>
  <c r="C24" i="10"/>
  <c r="C24" i="3" s="1"/>
  <c r="C25" i="10"/>
  <c r="C25" i="3" s="1"/>
  <c r="C26" i="10"/>
  <c r="C26" i="3" s="1"/>
  <c r="C27" i="10"/>
  <c r="C27" i="3" s="1"/>
  <c r="C28" i="10"/>
  <c r="C28" i="3" s="1"/>
  <c r="C29" i="10"/>
  <c r="C29" i="3" s="1"/>
  <c r="C21" i="10"/>
  <c r="C21" i="3" s="1"/>
  <c r="C9" i="10"/>
  <c r="C9" i="3" s="1"/>
  <c r="C10" i="10"/>
  <c r="C10" i="3" s="1"/>
  <c r="C11" i="10"/>
  <c r="C11" i="3" s="1"/>
  <c r="C12" i="10"/>
  <c r="C12" i="3" s="1"/>
  <c r="C13" i="10"/>
  <c r="C13" i="3" s="1"/>
  <c r="C14" i="10"/>
  <c r="C14" i="3" s="1"/>
  <c r="C15" i="10"/>
  <c r="C15" i="3" s="1"/>
  <c r="C16" i="10"/>
  <c r="C16" i="3" s="1"/>
  <c r="C8" i="10"/>
  <c r="C8" i="3" s="1"/>
</calcChain>
</file>

<file path=xl/sharedStrings.xml><?xml version="1.0" encoding="utf-8"?>
<sst xmlns="http://schemas.openxmlformats.org/spreadsheetml/2006/main" count="759" uniqueCount="155">
  <si>
    <t>Oil Spill Response Organization (OSRO) Marine Rating Matrix Legend</t>
  </si>
  <si>
    <r>
      <t xml:space="preserve">Oil spill response organizations (OSRO) may voluntarily apply to the Office of Spill Prevention and Response (OSPR) for ratings to provide services to contain, recover, and store spilled oil in marine settings. Ratings are granted to provide Marine services. The oil spill response organizations (OSRO) included in this matrix have been issued ratings from the Office of Spill Prevention and Response (OSPR) to provide cleanup services to vessel and facility owners/operators that have contingency plans with OSPR. The OSRO rating process is described in Title 14, California Code of Regulations § 819-819.07.
OSPR rates OSROs to provide containment, recovery, storage, and environmental sensitive site protection services. OSROs are rated based on the type of services they can provide to geographic regions within specified timeframes. The geographic regions used for marine OSRO ratings are the Geographic Response Areas (GRAs) within the six Area Contingency Plan (ACP) regions along California's coast.
Ratings for containment, recovery, and storage are based upon the quantity of resources that can be mobilized and deployed within specific timeframes, as shown in the OSRO Rating Requirements Table at the bottom of this page. Ratings for Environmental Sensitive Site Protection are based on the quantity of boom that can be mobilized and deployed to protect environmentally sensitive site strategies according to “Protection Hour” time frames described in the Site Protection Table, available on OSPR's website.
</t>
    </r>
    <r>
      <rPr>
        <b/>
        <sz val="12"/>
        <color rgb="FF000000"/>
        <rFont val="Calibri"/>
        <family val="2"/>
        <scheme val="minor"/>
      </rPr>
      <t xml:space="preserve">Notes: 
</t>
    </r>
    <r>
      <rPr>
        <sz val="12"/>
        <color rgb="FF000000"/>
        <rFont val="Calibri"/>
        <family val="2"/>
        <scheme val="minor"/>
      </rPr>
      <t xml:space="preserve">  •  If an OSRO has some available equipment but not the full amount required for a rating, they receive a modified rating. This is noted in the tables below as "Modified." 
</t>
    </r>
    <r>
      <rPr>
        <b/>
        <sz val="12"/>
        <color rgb="FF000000"/>
        <rFont val="Calibri"/>
        <family val="2"/>
        <scheme val="minor"/>
      </rPr>
      <t xml:space="preserve">  •</t>
    </r>
    <r>
      <rPr>
        <sz val="12"/>
        <color rgb="FF000000"/>
        <rFont val="Calibri"/>
        <family val="2"/>
        <scheme val="minor"/>
      </rPr>
      <t xml:space="preserve">  If a rating is marked with a "+", then that OSRO has all the hour ratings higher than the number listed. For example, a 2+ hour rating means that OSRO has ratings at 2,4,6,12,18,24,36 &amp; 60 hours.
</t>
    </r>
    <r>
      <rPr>
        <b/>
        <sz val="12"/>
        <color rgb="FF000000"/>
        <rFont val="Calibri"/>
        <family val="2"/>
        <scheme val="minor"/>
      </rPr>
      <t xml:space="preserve">  •  </t>
    </r>
    <r>
      <rPr>
        <sz val="12"/>
        <color rgb="FF000000"/>
        <rFont val="Calibri"/>
        <family val="2"/>
        <scheme val="minor"/>
      </rPr>
      <t xml:space="preserve">If a rating is marked with an Astrix (example 0*), the OSRO is requesting 24-hour advance notice to provide those services. </t>
    </r>
  </si>
  <si>
    <t>OSRO Rating Requirements</t>
  </si>
  <si>
    <t>Hour Rating</t>
  </si>
  <si>
    <t>Containment Boom</t>
  </si>
  <si>
    <t>Recovery (EDRC)</t>
  </si>
  <si>
    <t>Storage (BBLS)</t>
  </si>
  <si>
    <t>N/A</t>
  </si>
  <si>
    <t>EDRC - Estimated Daily Recovery Capacity / (BBLS) Storage are measured in Barrels Per Day.</t>
  </si>
  <si>
    <t>Oil Spill Response Organization (OSRO) Marine Rating Matrix</t>
  </si>
  <si>
    <t>Please see the OSRO Matrix Legend tab for acronyms and explanatory notes</t>
  </si>
  <si>
    <t>ACP 1 NORTH COAST</t>
  </si>
  <si>
    <t>OSRO Name</t>
  </si>
  <si>
    <t>Expiration Date</t>
  </si>
  <si>
    <t>Environmental Sensitive Site Protection</t>
  </si>
  <si>
    <t>GRA 1
Del Norte County</t>
  </si>
  <si>
    <t>GRA 2
Humboldt County Coastal</t>
  </si>
  <si>
    <t>GRA 3
Humbolt Bay</t>
  </si>
  <si>
    <t>GRA 4
Mendocino County</t>
  </si>
  <si>
    <t>Global Diving &amp; Salvage</t>
  </si>
  <si>
    <t>Marine Express, Inc</t>
  </si>
  <si>
    <t>Marine Spill Response Corporation (MSRC)</t>
  </si>
  <si>
    <t>National Response Corporation (NRC)</t>
  </si>
  <si>
    <t>O.C. Vacuum Environmental Services</t>
  </si>
  <si>
    <t>Patriot Environmental Services</t>
  </si>
  <si>
    <t>SoCal Ship Services</t>
  </si>
  <si>
    <t>US Water Taxi, Inc</t>
  </si>
  <si>
    <t>West Coast Environmental Solutions</t>
  </si>
  <si>
    <t>ACP 2 SAN FRANCISCO BAY &amp; DELTA, Part 1</t>
  </si>
  <si>
    <t xml:space="preserve">GRA 1
Sonoma &amp; Marin Counties Coastal </t>
  </si>
  <si>
    <t>GRA 2
Marin, SF &amp; San Mateo Counties Coastal</t>
  </si>
  <si>
    <t>GRA 3
South SF Bay</t>
  </si>
  <si>
    <t>GRA 4
Central SF Bay</t>
  </si>
  <si>
    <t>GRA 5
San Pablo Bay</t>
  </si>
  <si>
    <t>ACP 2 SAN FRANCISCO BAY &amp; DELTA, Part 2</t>
  </si>
  <si>
    <t xml:space="preserve">GRA 6
Carquinez Strait &amp; Suisun Bay </t>
  </si>
  <si>
    <t>GRA 7
West Delta</t>
  </si>
  <si>
    <t xml:space="preserve">GRA 8
North Delta </t>
  </si>
  <si>
    <t>GRA 9
South Delta</t>
  </si>
  <si>
    <t>GRA 10
East Delta</t>
  </si>
  <si>
    <t>ACP 3 CENTRAL COAST</t>
  </si>
  <si>
    <t xml:space="preserve">GRA 1
North Santa Cruz County </t>
  </si>
  <si>
    <t xml:space="preserve">GRA 2
South Santa Cruz County </t>
  </si>
  <si>
    <t xml:space="preserve">GRA 3
North Monterey County </t>
  </si>
  <si>
    <t xml:space="preserve">GRA 4
Central Monterey County </t>
  </si>
  <si>
    <t>GRA 5
South Monterey County</t>
  </si>
  <si>
    <t>ACP 4 LA/LB NORTH</t>
  </si>
  <si>
    <t>GRA 1, 2, 3 &amp; 4
San Luis Obispo</t>
  </si>
  <si>
    <t>GRA 5 &amp; 6
Santa Barbara</t>
  </si>
  <si>
    <t xml:space="preserve">GRA 7
Port Hueneme </t>
  </si>
  <si>
    <t>GRA 8
Channel Islands</t>
  </si>
  <si>
    <t>Clean Harbors Environmental Services</t>
  </si>
  <si>
    <t>ACP 5 LA/LB SOUTH</t>
  </si>
  <si>
    <t>GRA 1 &amp; 2
L.A. County</t>
  </si>
  <si>
    <t>GRA 3
Orange County</t>
  </si>
  <si>
    <t>GRA 4
Los Angeles &amp; Ventura Counties</t>
  </si>
  <si>
    <t>ACP 6 SAN DIEGO</t>
  </si>
  <si>
    <t>GRA 1
Camp Pendleton</t>
  </si>
  <si>
    <t>GRA 2
North San Diego County</t>
  </si>
  <si>
    <t xml:space="preserve">GRA 3
Central San Diego County </t>
  </si>
  <si>
    <t xml:space="preserve">GRA 4
South San Diego County  </t>
  </si>
  <si>
    <t>GRA 5
San Clemente Island</t>
  </si>
  <si>
    <t>Oil Pollution Risk Areas (OPRA)</t>
  </si>
  <si>
    <t>OPRA Name</t>
  </si>
  <si>
    <t>Latitude/Longitude</t>
  </si>
  <si>
    <t>ACP/GRA</t>
  </si>
  <si>
    <t>OSROs Rated for OPRA</t>
  </si>
  <si>
    <t>San Mateo Bridge</t>
  </si>
  <si>
    <t>37 35.1N / 22 15.0W</t>
  </si>
  <si>
    <t>ACP 2 / GRA 3</t>
  </si>
  <si>
    <t>MSRC / NRC</t>
  </si>
  <si>
    <t>South Bay - Oakland/Anchorange 9</t>
  </si>
  <si>
    <t>37 41.5N / 122 16.2W</t>
  </si>
  <si>
    <t>S.F. Bay Bridge</t>
  </si>
  <si>
    <t>37 47.9N / 122 22.6W</t>
  </si>
  <si>
    <t>ACP 2 / GRA 4</t>
  </si>
  <si>
    <t>S.F. Central Bay</t>
  </si>
  <si>
    <t>37 50.5N / 122 26.0W</t>
  </si>
  <si>
    <t>San Pablo Bay-Richmond/San Rafael Bridge</t>
  </si>
  <si>
    <t>37 56.1N / 122 26.8W</t>
  </si>
  <si>
    <t>Deep Water Channel</t>
  </si>
  <si>
    <t xml:space="preserve"> 38 2.5N / 122 21.9W</t>
  </si>
  <si>
    <t>ACP 2 / GRA 5</t>
  </si>
  <si>
    <t>Carquinez Bridge</t>
  </si>
  <si>
    <t>38 3.6N / 122 13.6W</t>
  </si>
  <si>
    <t>Suisun Bay - Benicia Bridge</t>
  </si>
  <si>
    <t xml:space="preserve"> 38 2.5N / 127 7.5W</t>
  </si>
  <si>
    <t>ACP 2 / GRA 6</t>
  </si>
  <si>
    <t>LA/Long Beach Queens Gate</t>
  </si>
  <si>
    <t>33 43.4N / 118 10.9W</t>
  </si>
  <si>
    <t>ACP 5 / GRA 2</t>
  </si>
  <si>
    <t>Non Floating Oil Certified OSROs</t>
  </si>
  <si>
    <t>Note: The listed OSROs are rated for non-floating oil in all regions they are rated to provide services.</t>
  </si>
  <si>
    <t>Grayed Areas Hidden Main Sheet / Do Not Change Exp On This Sheet.</t>
  </si>
  <si>
    <t>--</t>
  </si>
  <si>
    <t>GRA - 1 through 4</t>
  </si>
  <si>
    <t xml:space="preserve">0*, 1*, &amp; 2+ Hr. </t>
  </si>
  <si>
    <t>0*, 1*, &amp; 2+ Hr.</t>
  </si>
  <si>
    <t>24 Hr. Modified</t>
  </si>
  <si>
    <t>0* Hr.</t>
  </si>
  <si>
    <t xml:space="preserve">GRA - 3 through 10  </t>
  </si>
  <si>
    <t>12+ Hr.</t>
  </si>
  <si>
    <t xml:space="preserve">GRA - 1 through 10  </t>
  </si>
  <si>
    <t>24+ Hr.</t>
  </si>
  <si>
    <r>
      <t>0*</t>
    </r>
    <r>
      <rPr>
        <vertAlign val="subscript"/>
        <sz val="11"/>
        <color theme="1"/>
        <rFont val="Calibri"/>
        <family val="2"/>
        <scheme val="minor"/>
      </rPr>
      <t xml:space="preserve"> </t>
    </r>
    <r>
      <rPr>
        <sz val="11"/>
        <color theme="1"/>
        <rFont val="Calibri"/>
        <family val="2"/>
        <scheme val="minor"/>
      </rPr>
      <t>,1*</t>
    </r>
    <r>
      <rPr>
        <vertAlign val="superscript"/>
        <sz val="11"/>
        <color theme="1"/>
        <rFont val="Calibri"/>
        <family val="2"/>
        <scheme val="minor"/>
      </rPr>
      <t xml:space="preserve"> </t>
    </r>
    <r>
      <rPr>
        <sz val="11"/>
        <color theme="1"/>
        <rFont val="Calibri"/>
        <family val="2"/>
        <scheme val="minor"/>
      </rPr>
      <t>&amp; 12+ Hr.</t>
    </r>
  </si>
  <si>
    <t>0* Hr</t>
  </si>
  <si>
    <t>12+ Hour</t>
  </si>
  <si>
    <t>GRA - 1 through 5</t>
  </si>
  <si>
    <t>24+ Hour</t>
  </si>
  <si>
    <t>GRA 1, 2, &amp; 4
San Luis Obispo</t>
  </si>
  <si>
    <t>GRA - 6 &amp; 7</t>
  </si>
  <si>
    <t>GRA - 1 through 8</t>
  </si>
  <si>
    <r>
      <t>GRA - 1*</t>
    </r>
    <r>
      <rPr>
        <vertAlign val="subscript"/>
        <sz val="11"/>
        <color theme="1"/>
        <rFont val="Calibri"/>
        <family val="2"/>
        <scheme val="minor"/>
      </rPr>
      <t xml:space="preserve"> </t>
    </r>
    <r>
      <rPr>
        <sz val="11"/>
        <color theme="1"/>
        <rFont val="Calibri"/>
        <family val="2"/>
        <scheme val="minor"/>
      </rPr>
      <t>through 7*</t>
    </r>
  </si>
  <si>
    <r>
      <t>0*,1*</t>
    </r>
    <r>
      <rPr>
        <vertAlign val="subscript"/>
        <sz val="11"/>
        <color theme="1"/>
        <rFont val="Calibri"/>
        <family val="2"/>
        <scheme val="minor"/>
      </rPr>
      <t xml:space="preserve"> </t>
    </r>
    <r>
      <rPr>
        <sz val="11"/>
        <color theme="1"/>
        <rFont val="Calibri"/>
        <family val="2"/>
        <scheme val="minor"/>
      </rPr>
      <t>&amp; 6+ Hr</t>
    </r>
  </si>
  <si>
    <t>GRA 5, 6 &amp; 7</t>
  </si>
  <si>
    <t>2-Hr, 4 &amp; 6 Hr modified</t>
  </si>
  <si>
    <t>GRA - 1 &amp; 2</t>
  </si>
  <si>
    <t>0*, 1* &amp; 2 Hr.</t>
  </si>
  <si>
    <t>GRA - 1 Through 4</t>
  </si>
  <si>
    <t>GRA - 1* through 4* (12-Hr)</t>
  </si>
  <si>
    <t>2-Hr &amp; 4-Hr Modified</t>
  </si>
  <si>
    <t>GRA - 1* through 3* (12-Hr)</t>
  </si>
  <si>
    <t>0*, 2-Hr &amp; 4-Hr Modified</t>
  </si>
  <si>
    <t>2-Hr Modified</t>
  </si>
  <si>
    <t>2-Hr, 4-Hr Modified</t>
  </si>
  <si>
    <t>Environemtal Sensitive Site Protection</t>
  </si>
  <si>
    <t>GRA - 1* through 4*</t>
  </si>
  <si>
    <t>ExpirationDates</t>
  </si>
  <si>
    <t>14 Day</t>
  </si>
  <si>
    <t>14 Day Yes</t>
  </si>
  <si>
    <t>30 Day</t>
  </si>
  <si>
    <t>30 Day Yes</t>
  </si>
  <si>
    <t>120 Day</t>
  </si>
  <si>
    <t>120 Day Yes</t>
  </si>
  <si>
    <t>120-Day Reminder Email</t>
  </si>
  <si>
    <t>30-Day Reminder Email</t>
  </si>
  <si>
    <t>14-Day Reminder Email</t>
  </si>
  <si>
    <t>Interim Rating Letter Issued</t>
  </si>
  <si>
    <t>Date Application Received</t>
  </si>
  <si>
    <t>Application Review Status</t>
  </si>
  <si>
    <t>Drill/Insp Date</t>
  </si>
  <si>
    <t xml:space="preserve"> Drill/Insp Location</t>
  </si>
  <si>
    <t>Drill/Insp Status</t>
  </si>
  <si>
    <t>Received</t>
  </si>
  <si>
    <t>Cabrillo Beach Launch Ramp San Pedro, Ca (ACP-5)</t>
  </si>
  <si>
    <t>Passed</t>
  </si>
  <si>
    <t>Todays Date</t>
  </si>
  <si>
    <t>Expired</t>
  </si>
  <si>
    <t>TEST #1 120 Days</t>
  </si>
  <si>
    <t>TEST #2 30 Days</t>
  </si>
  <si>
    <t>TEST #3 14 Days</t>
  </si>
  <si>
    <t xml:space="preserve">0*, 1*, 2, 6 &amp; 24+ Hr. </t>
  </si>
  <si>
    <t>0* ,1*, 2, 4, 6, 24, 36, 60</t>
  </si>
  <si>
    <t>Central S.F Bay Anchorage #5 / EESP Richmond Marina</t>
  </si>
  <si>
    <t>Last Revised: 6/04/2026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</si>
</sst>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409]d\-mmm\-yy;@"/>
    <numFmt numFmtId="165" formatCode="yyyy\-mm\-dd;@"/>
    <numFmt numFmtId="166" formatCode="m/d/yy;@"/>
  </numFmts>
  <fonts count="21" x14ac:knownFonts="1">
    <font>
      <sz val="11"/>
      <color theme="1"/>
      <name val="Calibri"/>
      <family val="2"/>
      <scheme val="minor"/>
    </font>
    <font>
      <b/>
      <sz val="11"/>
      <color theme="1"/>
      <name val="Calibri"/>
      <family val="2"/>
      <scheme val="minor"/>
    </font>
    <font>
      <vertAlign val="subscript"/>
      <sz val="11"/>
      <color theme="1"/>
      <name val="Calibri"/>
      <family val="2"/>
      <scheme val="minor"/>
    </font>
    <font>
      <vertAlign val="superscript"/>
      <sz val="11"/>
      <color theme="1"/>
      <name val="Calibri"/>
      <family val="2"/>
      <scheme val="minor"/>
    </font>
    <font>
      <b/>
      <sz val="12"/>
      <color theme="1"/>
      <name val="Calibri"/>
      <family val="2"/>
      <scheme val="minor"/>
    </font>
    <font>
      <b/>
      <u/>
      <sz val="14"/>
      <color theme="1"/>
      <name val="Calibri"/>
      <family val="2"/>
      <scheme val="minor"/>
    </font>
    <font>
      <b/>
      <sz val="14"/>
      <color theme="1"/>
      <name val="Calibri"/>
      <family val="2"/>
      <scheme val="minor"/>
    </font>
    <font>
      <sz val="12"/>
      <color theme="1"/>
      <name val="Calibri"/>
      <family val="2"/>
      <scheme val="minor"/>
    </font>
    <font>
      <b/>
      <sz val="14"/>
      <name val="Calibri"/>
      <family val="2"/>
      <scheme val="minor"/>
    </font>
    <font>
      <b/>
      <u/>
      <sz val="16"/>
      <color theme="1"/>
      <name val="Calibri"/>
      <family val="2"/>
      <scheme val="minor"/>
    </font>
    <font>
      <b/>
      <sz val="11"/>
      <color rgb="FF3F3F3F"/>
      <name val="Calibri"/>
      <family val="2"/>
      <scheme val="minor"/>
    </font>
    <font>
      <b/>
      <sz val="12"/>
      <name val="Calibri"/>
      <family val="2"/>
      <scheme val="minor"/>
    </font>
    <font>
      <b/>
      <sz val="12"/>
      <color rgb="FF3F3F3F"/>
      <name val="Calibri"/>
      <family val="2"/>
      <scheme val="minor"/>
    </font>
    <font>
      <b/>
      <i/>
      <sz val="12"/>
      <color theme="1"/>
      <name val="Calibri"/>
      <family val="2"/>
      <scheme val="minor"/>
    </font>
    <font>
      <sz val="12"/>
      <color rgb="FF000000"/>
      <name val="Calibri"/>
      <family val="2"/>
      <scheme val="minor"/>
    </font>
    <font>
      <b/>
      <sz val="12"/>
      <color rgb="FF000000"/>
      <name val="Calibri"/>
      <family val="2"/>
      <scheme val="minor"/>
    </font>
    <font>
      <b/>
      <i/>
      <u/>
      <sz val="12"/>
      <color theme="1"/>
      <name val="Calibri"/>
      <family val="2"/>
      <scheme val="minor"/>
    </font>
    <font>
      <b/>
      <u/>
      <sz val="12"/>
      <color rgb="FFFF0000"/>
      <name val="Calibri"/>
      <family val="2"/>
      <scheme val="minor"/>
    </font>
    <font>
      <sz val="11"/>
      <color theme="0"/>
      <name val="Calibri"/>
      <family val="2"/>
      <scheme val="minor"/>
    </font>
    <font>
      <b/>
      <sz val="12"/>
      <color theme="0"/>
      <name val="Calibri"/>
      <family val="2"/>
      <scheme val="minor"/>
    </font>
    <font>
      <sz val="8"/>
      <name val="Calibri"/>
      <family val="2"/>
      <scheme val="minor"/>
    </font>
  </fonts>
  <fills count="22">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9900"/>
        <bgColor indexed="64"/>
      </patternFill>
    </fill>
    <fill>
      <patternFill patternType="solid">
        <fgColor rgb="FF92D050"/>
        <bgColor indexed="64"/>
      </patternFill>
    </fill>
    <fill>
      <patternFill patternType="solid">
        <fgColor rgb="FF00B0F0"/>
        <bgColor indexed="64"/>
      </patternFill>
    </fill>
    <fill>
      <patternFill patternType="solid">
        <fgColor theme="4"/>
        <bgColor indexed="64"/>
      </patternFill>
    </fill>
    <fill>
      <patternFill patternType="solid">
        <fgColor rgb="FF9966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2F2F2"/>
      </patternFill>
    </fill>
    <fill>
      <patternFill patternType="solid">
        <fgColor theme="2" tint="-9.9978637043366805E-2"/>
        <bgColor indexed="64"/>
      </patternFill>
    </fill>
    <fill>
      <patternFill patternType="solid">
        <fgColor rgb="FFFFC000"/>
        <bgColor indexed="64"/>
      </patternFill>
    </fill>
    <fill>
      <patternFill patternType="solid">
        <fgColor rgb="FFBFBFBF"/>
        <bgColor indexed="64"/>
      </patternFill>
    </fill>
    <fill>
      <patternFill patternType="solid">
        <fgColor rgb="FFB4C6E7"/>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4"/>
      </patternFill>
    </fill>
    <fill>
      <patternFill patternType="solid">
        <fgColor theme="4" tint="-0.249977111117893"/>
        <bgColor indexed="64"/>
      </patternFill>
    </fill>
    <fill>
      <patternFill patternType="solid">
        <fgColor theme="1" tint="0.499984740745262"/>
        <bgColor indexed="64"/>
      </patternFill>
    </fill>
  </fills>
  <borders count="25">
    <border>
      <left/>
      <right/>
      <top/>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0" fontId="10" fillId="11" borderId="17" applyNumberFormat="0" applyAlignment="0" applyProtection="0"/>
    <xf numFmtId="0" fontId="18" fillId="19" borderId="0" applyNumberFormat="0" applyBorder="0" applyAlignment="0" applyProtection="0"/>
  </cellStyleXfs>
  <cellXfs count="138">
    <xf numFmtId="0" fontId="0" fillId="0" borderId="0" xfId="0"/>
    <xf numFmtId="15" fontId="0" fillId="0" borderId="5" xfId="0" applyNumberForma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xf>
    <xf numFmtId="15" fontId="0" fillId="0" borderId="5" xfId="0" applyNumberFormat="1" applyBorder="1" applyAlignment="1">
      <alignment horizontal="center"/>
    </xf>
    <xf numFmtId="0" fontId="0" fillId="0" borderId="6" xfId="0" applyBorder="1" applyAlignment="1">
      <alignment horizontal="center"/>
    </xf>
    <xf numFmtId="0" fontId="0" fillId="0" borderId="5" xfId="0" applyBorder="1" applyAlignment="1">
      <alignment horizontal="center" wrapText="1"/>
    </xf>
    <xf numFmtId="0" fontId="0" fillId="0" borderId="0" xfId="0" applyAlignment="1">
      <alignment horizont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3" fontId="7" fillId="0" borderId="11" xfId="0" applyNumberFormat="1" applyFont="1" applyBorder="1" applyAlignment="1">
      <alignment horizontal="center" vertical="center"/>
    </xf>
    <xf numFmtId="0" fontId="0" fillId="0" borderId="5" xfId="0" quotePrefix="1" applyBorder="1" applyAlignment="1">
      <alignment horizontal="center" vertical="center" wrapText="1"/>
    </xf>
    <xf numFmtId="0" fontId="0" fillId="9" borderId="0" xfId="0" applyFill="1"/>
    <xf numFmtId="0" fontId="7" fillId="0" borderId="13" xfId="0" applyFont="1" applyBorder="1" applyAlignment="1">
      <alignment horizontal="center" vertical="center"/>
    </xf>
    <xf numFmtId="0" fontId="7" fillId="0" borderId="12" xfId="0" applyFont="1" applyBorder="1" applyAlignment="1">
      <alignment horizontal="center" vertical="center"/>
    </xf>
    <xf numFmtId="3" fontId="7" fillId="0" borderId="12" xfId="0" applyNumberFormat="1" applyFont="1" applyBorder="1" applyAlignment="1">
      <alignment horizontal="center" vertical="center"/>
    </xf>
    <xf numFmtId="0" fontId="8" fillId="0" borderId="1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2" xfId="0" applyFont="1" applyBorder="1" applyAlignment="1">
      <alignment horizontal="center" vertical="center"/>
    </xf>
    <xf numFmtId="0" fontId="7" fillId="0" borderId="19" xfId="0" applyFont="1" applyBorder="1" applyAlignment="1">
      <alignment horizontal="center" vertical="center"/>
    </xf>
    <xf numFmtId="3" fontId="7" fillId="0" borderId="19" xfId="0" applyNumberFormat="1" applyFont="1" applyBorder="1" applyAlignment="1">
      <alignment horizontal="center" vertical="center"/>
    </xf>
    <xf numFmtId="3" fontId="7" fillId="0" borderId="9" xfId="0" applyNumberFormat="1"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xf numFmtId="0" fontId="4" fillId="0" borderId="5" xfId="0" applyFont="1" applyBorder="1" applyAlignment="1">
      <alignment vertical="top"/>
    </xf>
    <xf numFmtId="0" fontId="11" fillId="3" borderId="5" xfId="0" applyFont="1" applyFill="1" applyBorder="1" applyAlignment="1">
      <alignment horizontal="center" vertical="center" wrapText="1"/>
    </xf>
    <xf numFmtId="0" fontId="11" fillId="3" borderId="5" xfId="0" applyFont="1" applyFill="1" applyBorder="1" applyAlignment="1">
      <alignment horizontal="center" vertical="center"/>
    </xf>
    <xf numFmtId="0" fontId="4" fillId="0" borderId="5" xfId="0" applyFont="1" applyBorder="1" applyAlignment="1">
      <alignment vertical="center"/>
    </xf>
    <xf numFmtId="15" fontId="4" fillId="0" borderId="5" xfId="0" applyNumberFormat="1" applyFont="1" applyBorder="1" applyAlignment="1">
      <alignment horizontal="center" vertical="center"/>
    </xf>
    <xf numFmtId="0" fontId="4" fillId="0" borderId="5" xfId="0" quotePrefix="1" applyFont="1" applyBorder="1" applyAlignment="1">
      <alignment horizontal="center" vertical="center" wrapText="1"/>
    </xf>
    <xf numFmtId="0" fontId="12" fillId="3" borderId="5" xfId="1" applyFont="1" applyFill="1" applyBorder="1" applyAlignment="1">
      <alignment horizontal="center" vertical="center"/>
    </xf>
    <xf numFmtId="0" fontId="12" fillId="3" borderId="5" xfId="1" applyFont="1" applyFill="1" applyBorder="1" applyAlignment="1">
      <alignment horizontal="center" vertical="center" wrapText="1"/>
    </xf>
    <xf numFmtId="0" fontId="4" fillId="0" borderId="5" xfId="0" applyFont="1" applyBorder="1" applyAlignment="1">
      <alignment horizontal="left" vertical="top" wrapText="1"/>
    </xf>
    <xf numFmtId="0" fontId="4" fillId="3" borderId="5" xfId="0" applyFont="1" applyFill="1" applyBorder="1" applyAlignment="1">
      <alignment horizontal="center" vertical="center"/>
    </xf>
    <xf numFmtId="0" fontId="4" fillId="0" borderId="5" xfId="0" applyFont="1" applyBorder="1" applyAlignment="1">
      <alignment wrapText="1"/>
    </xf>
    <xf numFmtId="0" fontId="4" fillId="0" borderId="5" xfId="0" applyFont="1" applyBorder="1" applyAlignment="1">
      <alignment vertical="top" wrapText="1"/>
    </xf>
    <xf numFmtId="0" fontId="4" fillId="0" borderId="5" xfId="0" applyFont="1" applyBorder="1" applyAlignment="1">
      <alignment horizontal="left" vertical="center"/>
    </xf>
    <xf numFmtId="0" fontId="0" fillId="0" borderId="4" xfId="0" applyBorder="1" applyAlignment="1">
      <alignment horizontal="left"/>
    </xf>
    <xf numFmtId="0" fontId="7" fillId="0" borderId="4" xfId="0" applyFont="1" applyBorder="1" applyAlignment="1">
      <alignment horizontal="left" vertical="center"/>
    </xf>
    <xf numFmtId="0" fontId="7" fillId="0" borderId="4" xfId="0" applyFont="1" applyBorder="1" applyAlignment="1">
      <alignment vertical="center"/>
    </xf>
    <xf numFmtId="0" fontId="7" fillId="0" borderId="16" xfId="0" applyFont="1" applyBorder="1" applyAlignment="1">
      <alignment horizontal="left" vertical="center"/>
    </xf>
    <xf numFmtId="0" fontId="7" fillId="10" borderId="4" xfId="0" applyFont="1" applyFill="1" applyBorder="1"/>
    <xf numFmtId="0" fontId="0" fillId="14" borderId="0" xfId="0" applyFill="1"/>
    <xf numFmtId="0" fontId="4" fillId="14" borderId="0" xfId="0" applyFont="1" applyFill="1"/>
    <xf numFmtId="15" fontId="0" fillId="14" borderId="0" xfId="0" applyNumberFormat="1" applyFill="1" applyAlignment="1">
      <alignment horizontal="center"/>
    </xf>
    <xf numFmtId="0" fontId="0" fillId="14" borderId="0" xfId="0" quotePrefix="1" applyFill="1" applyAlignment="1">
      <alignment horizontal="center" vertical="center" wrapText="1"/>
    </xf>
    <xf numFmtId="15" fontId="0" fillId="14" borderId="0" xfId="0" applyNumberFormat="1" applyFill="1" applyAlignment="1">
      <alignment horizontal="center" vertical="center"/>
    </xf>
    <xf numFmtId="0" fontId="0" fillId="14" borderId="0" xfId="0" applyFill="1" applyAlignment="1">
      <alignment horizontal="center"/>
    </xf>
    <xf numFmtId="0" fontId="4" fillId="14" borderId="0" xfId="0" applyFont="1" applyFill="1" applyAlignment="1">
      <alignment vertical="top"/>
    </xf>
    <xf numFmtId="0" fontId="0" fillId="14" borderId="0" xfId="0" applyFill="1" applyAlignment="1">
      <alignment horizontal="center" wrapText="1"/>
    </xf>
    <xf numFmtId="0" fontId="1" fillId="15" borderId="15" xfId="0" applyFont="1" applyFill="1" applyBorder="1" applyAlignment="1">
      <alignment horizontal="center" vertical="center"/>
    </xf>
    <xf numFmtId="0" fontId="1" fillId="15" borderId="3" xfId="0" applyFont="1" applyFill="1" applyBorder="1" applyAlignment="1">
      <alignment horizontal="center" vertical="center"/>
    </xf>
    <xf numFmtId="0" fontId="0" fillId="16" borderId="0" xfId="0" applyFill="1"/>
    <xf numFmtId="0" fontId="4" fillId="0" borderId="5" xfId="0" applyFont="1" applyBorder="1" applyAlignment="1">
      <alignment vertical="center" wrapText="1"/>
    </xf>
    <xf numFmtId="0" fontId="1" fillId="16" borderId="0" xfId="0" applyFont="1" applyFill="1" applyAlignment="1">
      <alignment wrapText="1"/>
    </xf>
    <xf numFmtId="0" fontId="16" fillId="14" borderId="0" xfId="0" applyFont="1" applyFill="1"/>
    <xf numFmtId="0" fontId="16" fillId="9" borderId="0" xfId="0" applyFont="1" applyFill="1" applyAlignment="1">
      <alignment horizontal="center" vertical="center"/>
    </xf>
    <xf numFmtId="0" fontId="4" fillId="0" borderId="4" xfId="0" applyFont="1" applyBorder="1"/>
    <xf numFmtId="0" fontId="4" fillId="0" borderId="16" xfId="0" applyFont="1" applyBorder="1"/>
    <xf numFmtId="0" fontId="4" fillId="17" borderId="5" xfId="0" applyFont="1" applyFill="1" applyBorder="1"/>
    <xf numFmtId="15" fontId="0" fillId="17" borderId="5" xfId="0" applyNumberFormat="1" applyFill="1" applyBorder="1" applyAlignment="1">
      <alignment horizontal="center" vertical="center"/>
    </xf>
    <xf numFmtId="0" fontId="0" fillId="17" borderId="5" xfId="0" applyFill="1" applyBorder="1" applyAlignment="1">
      <alignment horizontal="center"/>
    </xf>
    <xf numFmtId="0" fontId="4" fillId="17" borderId="5" xfId="0" applyFont="1" applyFill="1" applyBorder="1" applyAlignment="1">
      <alignment vertical="top"/>
    </xf>
    <xf numFmtId="0" fontId="0" fillId="17" borderId="5" xfId="0" quotePrefix="1" applyFill="1" applyBorder="1" applyAlignment="1">
      <alignment horizontal="center" vertical="center" wrapText="1"/>
    </xf>
    <xf numFmtId="15" fontId="0" fillId="17" borderId="5" xfId="0" applyNumberFormat="1" applyFill="1" applyBorder="1" applyAlignment="1">
      <alignment horizontal="center"/>
    </xf>
    <xf numFmtId="0" fontId="4" fillId="17" borderId="5" xfId="0" applyFont="1" applyFill="1" applyBorder="1" applyAlignment="1">
      <alignment vertical="center"/>
    </xf>
    <xf numFmtId="15" fontId="0" fillId="0" borderId="5" xfId="0" quotePrefix="1" applyNumberFormat="1" applyBorder="1" applyAlignment="1">
      <alignment horizontal="center" vertical="center" wrapText="1"/>
    </xf>
    <xf numFmtId="15" fontId="0" fillId="0" borderId="5" xfId="0" applyNumberFormat="1" applyBorder="1" applyAlignment="1">
      <alignment horizontal="center" wrapText="1"/>
    </xf>
    <xf numFmtId="0" fontId="17" fillId="16" borderId="0" xfId="0" applyFont="1" applyFill="1"/>
    <xf numFmtId="0" fontId="16" fillId="18" borderId="0" xfId="0" applyFont="1" applyFill="1"/>
    <xf numFmtId="0" fontId="4" fillId="10" borderId="5" xfId="0" applyFont="1" applyFill="1" applyBorder="1" applyAlignment="1">
      <alignment vertical="center"/>
    </xf>
    <xf numFmtId="15" fontId="0" fillId="10" borderId="5" xfId="0" applyNumberFormat="1" applyFill="1" applyBorder="1" applyAlignment="1">
      <alignment horizontal="center"/>
    </xf>
    <xf numFmtId="0" fontId="0" fillId="10" borderId="5" xfId="0" quotePrefix="1" applyFill="1" applyBorder="1" applyAlignment="1">
      <alignment horizontal="center" vertical="center" wrapText="1"/>
    </xf>
    <xf numFmtId="0" fontId="4" fillId="0" borderId="4" xfId="0" applyFont="1" applyBorder="1" applyAlignment="1">
      <alignment horizontal="left" vertical="center"/>
    </xf>
    <xf numFmtId="0" fontId="4" fillId="20" borderId="3" xfId="0" applyFont="1" applyFill="1" applyBorder="1" applyAlignment="1">
      <alignment horizontal="center" vertical="center"/>
    </xf>
    <xf numFmtId="0" fontId="4" fillId="20" borderId="15" xfId="0" applyFont="1" applyFill="1" applyBorder="1" applyAlignment="1">
      <alignment horizontal="center" vertical="center"/>
    </xf>
    <xf numFmtId="0" fontId="19" fillId="20" borderId="3" xfId="2" applyFont="1" applyFill="1" applyBorder="1" applyAlignment="1">
      <alignment horizontal="center" vertical="center"/>
    </xf>
    <xf numFmtId="0" fontId="0" fillId="0" borderId="0" xfId="0" applyAlignment="1">
      <alignment horizontal="center" vertical="center"/>
    </xf>
    <xf numFmtId="14" fontId="0" fillId="0" borderId="0" xfId="0" applyNumberFormat="1"/>
    <xf numFmtId="0" fontId="19" fillId="20" borderId="24" xfId="2" applyFont="1" applyFill="1" applyBorder="1" applyAlignment="1">
      <alignment horizontal="center" vertical="center"/>
    </xf>
    <xf numFmtId="164" fontId="4" fillId="20" borderId="3" xfId="0" applyNumberFormat="1" applyFont="1" applyFill="1" applyBorder="1" applyAlignment="1">
      <alignment horizontal="center" vertical="center"/>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164" fontId="0" fillId="0" borderId="0" xfId="0" applyNumberFormat="1" applyAlignment="1">
      <alignment horizontal="center" vertical="center"/>
    </xf>
    <xf numFmtId="164" fontId="0" fillId="0" borderId="5" xfId="0" applyNumberFormat="1" applyBorder="1" applyAlignment="1">
      <alignment horizontal="center"/>
    </xf>
    <xf numFmtId="164" fontId="0" fillId="0" borderId="6" xfId="0" applyNumberFormat="1" applyBorder="1" applyAlignment="1">
      <alignment horizontal="center"/>
    </xf>
    <xf numFmtId="164" fontId="0" fillId="0" borderId="0" xfId="0" applyNumberFormat="1" applyAlignment="1">
      <alignment horizontal="center"/>
    </xf>
    <xf numFmtId="14" fontId="0" fillId="0" borderId="5" xfId="0" applyNumberFormat="1" applyBorder="1" applyAlignment="1">
      <alignment horizontal="center"/>
    </xf>
    <xf numFmtId="0" fontId="0" fillId="0" borderId="7" xfId="0" applyBorder="1" applyAlignment="1">
      <alignment horizontal="center"/>
    </xf>
    <xf numFmtId="0" fontId="0" fillId="0" borderId="23" xfId="0" applyBorder="1" applyAlignment="1">
      <alignment horizontal="center"/>
    </xf>
    <xf numFmtId="165" fontId="4" fillId="20" borderId="3" xfId="0" applyNumberFormat="1" applyFont="1" applyFill="1" applyBorder="1" applyAlignment="1">
      <alignment horizontal="center" vertical="center"/>
    </xf>
    <xf numFmtId="165" fontId="0" fillId="0" borderId="0" xfId="0" applyNumberFormat="1"/>
    <xf numFmtId="166" fontId="4" fillId="20" borderId="3" xfId="0" applyNumberFormat="1" applyFont="1" applyFill="1" applyBorder="1" applyAlignment="1">
      <alignment horizontal="center" vertical="center"/>
    </xf>
    <xf numFmtId="166" fontId="0" fillId="0" borderId="5" xfId="0" applyNumberFormat="1" applyBorder="1" applyAlignment="1">
      <alignment horizontal="center"/>
    </xf>
    <xf numFmtId="166" fontId="0" fillId="0" borderId="5" xfId="0" applyNumberFormat="1" applyBorder="1" applyAlignment="1">
      <alignment horizontal="center" vertical="center"/>
    </xf>
    <xf numFmtId="166" fontId="0" fillId="0" borderId="6" xfId="0" applyNumberFormat="1" applyBorder="1" applyAlignment="1">
      <alignment horizontal="center" vertical="center"/>
    </xf>
    <xf numFmtId="166" fontId="0" fillId="0" borderId="0" xfId="0" applyNumberFormat="1"/>
    <xf numFmtId="0" fontId="4" fillId="21" borderId="5" xfId="0" applyFont="1" applyFill="1" applyBorder="1" applyAlignment="1">
      <alignment vertical="top"/>
    </xf>
    <xf numFmtId="15" fontId="0" fillId="21" borderId="5" xfId="0" applyNumberFormat="1" applyFill="1" applyBorder="1" applyAlignment="1">
      <alignment horizontal="center"/>
    </xf>
    <xf numFmtId="15" fontId="0" fillId="21" borderId="5" xfId="0" quotePrefix="1" applyNumberFormat="1" applyFill="1" applyBorder="1" applyAlignment="1">
      <alignment horizontal="center"/>
    </xf>
    <xf numFmtId="0" fontId="1" fillId="13" borderId="5" xfId="0" applyFont="1" applyFill="1" applyBorder="1" applyAlignment="1">
      <alignment wrapText="1"/>
    </xf>
    <xf numFmtId="0" fontId="1" fillId="0" borderId="7" xfId="0" applyFont="1" applyBorder="1" applyAlignment="1">
      <alignment horizontal="left"/>
    </xf>
    <xf numFmtId="0" fontId="1" fillId="0" borderId="4" xfId="0" applyFont="1" applyBorder="1" applyAlignment="1">
      <alignment horizontal="left"/>
    </xf>
    <xf numFmtId="0" fontId="1" fillId="10" borderId="7" xfId="0" applyFont="1" applyFill="1" applyBorder="1" applyAlignment="1">
      <alignment horizontal="left"/>
    </xf>
    <xf numFmtId="0" fontId="1" fillId="10" borderId="4" xfId="0" applyFont="1" applyFill="1" applyBorder="1" applyAlignment="1">
      <alignment horizontal="left"/>
    </xf>
    <xf numFmtId="0" fontId="9" fillId="14" borderId="0" xfId="0" applyFont="1" applyFill="1" applyAlignment="1">
      <alignment horizontal="center"/>
    </xf>
    <xf numFmtId="0" fontId="6" fillId="4" borderId="5"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4" xfId="0" applyFont="1" applyFill="1" applyBorder="1" applyAlignment="1">
      <alignment horizontal="center" vertical="center"/>
    </xf>
    <xf numFmtId="0" fontId="6" fillId="13" borderId="5" xfId="0" applyFont="1" applyFill="1" applyBorder="1" applyAlignment="1">
      <alignment horizontal="center"/>
    </xf>
    <xf numFmtId="0" fontId="13" fillId="14" borderId="0" xfId="0" applyFont="1" applyFill="1" applyAlignment="1">
      <alignment horizontal="center"/>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4"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4" xfId="0" applyFont="1" applyFill="1" applyBorder="1" applyAlignment="1">
      <alignment horizontal="center" vertical="center"/>
    </xf>
    <xf numFmtId="0" fontId="6" fillId="8" borderId="7"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4" xfId="0" applyFont="1" applyFill="1" applyBorder="1" applyAlignment="1">
      <alignment horizontal="center" vertical="center"/>
    </xf>
    <xf numFmtId="0" fontId="6" fillId="2" borderId="7" xfId="0" applyFont="1" applyFill="1" applyBorder="1" applyAlignment="1">
      <alignment horizontal="center"/>
    </xf>
    <xf numFmtId="0" fontId="6" fillId="2" borderId="8" xfId="0" applyFont="1" applyFill="1" applyBorder="1" applyAlignment="1">
      <alignment horizontal="center"/>
    </xf>
    <xf numFmtId="0" fontId="6" fillId="2" borderId="4" xfId="0" applyFont="1" applyFill="1" applyBorder="1" applyAlignment="1">
      <alignment horizontal="center"/>
    </xf>
    <xf numFmtId="0" fontId="6" fillId="15" borderId="5" xfId="0" applyFont="1" applyFill="1" applyBorder="1" applyAlignment="1">
      <alignment horizontal="center"/>
    </xf>
    <xf numFmtId="0" fontId="6" fillId="12" borderId="12" xfId="0" applyFont="1" applyFill="1" applyBorder="1" applyAlignment="1">
      <alignment horizontal="center" vertical="center"/>
    </xf>
    <xf numFmtId="0" fontId="6" fillId="12" borderId="1" xfId="0" applyFont="1" applyFill="1" applyBorder="1" applyAlignment="1">
      <alignment horizontal="center" vertical="center"/>
    </xf>
    <xf numFmtId="0" fontId="6" fillId="12" borderId="13" xfId="0" applyFont="1" applyFill="1" applyBorder="1" applyAlignment="1">
      <alignment horizontal="center" vertical="center"/>
    </xf>
    <xf numFmtId="0" fontId="4" fillId="12" borderId="12" xfId="0" applyFont="1" applyFill="1" applyBorder="1" applyAlignment="1">
      <alignment horizontal="center"/>
    </xf>
    <xf numFmtId="0" fontId="4" fillId="12" borderId="1" xfId="0" applyFont="1" applyFill="1" applyBorder="1" applyAlignment="1">
      <alignment horizontal="center"/>
    </xf>
    <xf numFmtId="0" fontId="4" fillId="12" borderId="13" xfId="0" applyFont="1" applyFill="1" applyBorder="1" applyAlignment="1">
      <alignment horizontal="center"/>
    </xf>
    <xf numFmtId="0" fontId="5" fillId="9" borderId="0" xfId="0" applyFont="1" applyFill="1" applyAlignment="1">
      <alignment horizontal="center" vertical="center"/>
    </xf>
    <xf numFmtId="0" fontId="14"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cellXfs>
  <cellStyles count="3">
    <cellStyle name="Accent1" xfId="2" builtinId="29"/>
    <cellStyle name="Normal" xfId="0" builtinId="0"/>
    <cellStyle name="Output" xfId="1" builtinId="21"/>
  </cellStyles>
  <dxfs count="222">
    <dxf>
      <font>
        <strike val="0"/>
        <color theme="0" tint="-4.9989318521683403E-2"/>
      </font>
      <fill>
        <patternFill>
          <bgColor theme="2" tint="-9.9948118533890809E-2"/>
        </patternFill>
      </fill>
    </dxf>
    <dxf>
      <fill>
        <patternFill>
          <bgColor rgb="FFFFFF00"/>
        </patternFill>
      </fill>
    </dxf>
    <dxf>
      <fill>
        <patternFill>
          <bgColor rgb="FFFFC000"/>
        </patternFill>
      </fill>
    </dxf>
    <dxf>
      <fill>
        <patternFill>
          <bgColor theme="5" tint="-0.24994659260841701"/>
        </patternFill>
      </fill>
    </dxf>
    <dxf>
      <fill>
        <patternFill>
          <bgColor rgb="FFFF0000"/>
        </patternFill>
      </fill>
    </dxf>
    <dxf>
      <fill>
        <patternFill>
          <bgColor theme="0" tint="-0.14996795556505021"/>
        </patternFill>
      </fill>
    </dxf>
    <dxf>
      <font>
        <strike val="0"/>
        <color theme="0" tint="-4.9989318521683403E-2"/>
      </font>
      <fill>
        <patternFill>
          <bgColor theme="2" tint="-9.9948118533890809E-2"/>
        </patternFill>
      </fill>
    </dxf>
    <dxf>
      <font>
        <strike val="0"/>
        <outline val="0"/>
        <shadow val="0"/>
        <u val="none"/>
        <vertAlign val="baseline"/>
        <color theme="1"/>
        <name val="Calibri"/>
        <family val="2"/>
        <scheme val="minor"/>
      </font>
      <numFmt numFmtId="0" formatCode="General"/>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minor"/>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minor"/>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minor"/>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minor"/>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Calibri"/>
        <family val="2"/>
        <scheme val="minor"/>
      </font>
      <numFmt numFmtId="20" formatCode="d\-mmm\-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family val="2"/>
        <scheme val="minor"/>
      </font>
      <numFmt numFmtId="0" formatCode="General"/>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color rgb="FF000000"/>
        <name val="Calibri"/>
        <family val="2"/>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2"/>
        <color theme="1"/>
        <name val="Calibri"/>
        <family val="2"/>
        <scheme val="minor"/>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B4C6E7"/>
        </patternFill>
      </fill>
      <alignment horizontal="center" vertical="center" textRotation="0" wrapText="0" indent="0" justifyLastLine="0" shrinkToFit="0" readingOrder="0"/>
      <border diagonalUp="0" diagonalDown="0">
        <left style="thin">
          <color indexed="64"/>
        </left>
        <right style="thin">
          <color indexed="64"/>
        </right>
        <top/>
        <bottom/>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0" formatCode="d\-mmm\-yy"/>
      <fill>
        <patternFill patternType="solid">
          <fgColor indexed="64"/>
          <bgColor theme="0" tint="-0.49998474074526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0" formatCode="d\-mmm\-yy"/>
      <fill>
        <patternFill patternType="solid">
          <fgColor indexed="64"/>
          <bgColor theme="0" tint="-0.49998474074526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family val="2"/>
        <scheme val="minor"/>
      </font>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numFmt numFmtId="20" formatCode="d\-mmm\-yy"/>
      <fill>
        <patternFill patternType="solid">
          <fgColor indexed="64"/>
          <bgColor theme="0" tint="-0.49998474074526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0" formatCode="d\-mmm\-yy"/>
      <fill>
        <patternFill patternType="solid">
          <fgColor indexed="64"/>
          <bgColor theme="0" tint="-0.49998474074526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0" formatCode="d\-mmm\-yy"/>
      <fill>
        <patternFill patternType="solid">
          <fgColor indexed="64"/>
          <bgColor theme="0" tint="-0.49998474074526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center" textRotation="0" wrapText="1" indent="0" justifyLastLine="0" shrinkToFit="0" readingOrder="0"/>
    </dxf>
    <dxf>
      <font>
        <b/>
        <strike val="0"/>
        <outline val="0"/>
        <shadow val="0"/>
        <u val="none"/>
        <vertAlign val="baseline"/>
        <sz val="12"/>
        <color rgb="FF3F3F3F"/>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0" formatCode="d\-mmm\-yy"/>
      <fill>
        <patternFill patternType="solid">
          <fgColor indexed="64"/>
          <bgColor theme="0" tint="-0.49998474074526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409]d\-mmm\-yy;@"/>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409]d\-mmm\-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numFmt numFmtId="164" formatCode="[$-409]d\-mmm\-yy;@"/>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numFmt numFmtId="166" formatCode="m/d/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bottom/>
      </border>
    </dxf>
    <dxf>
      <font>
        <strike val="0"/>
        <outline val="0"/>
        <shadow val="0"/>
        <u val="none"/>
        <vertAlign val="baseline"/>
        <color theme="1"/>
        <name val="Calibri"/>
        <family val="2"/>
        <scheme val="minor"/>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minor"/>
      </font>
      <numFmt numFmtId="20" formatCode="d\-mmm\-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theme="1"/>
        <name val="Calibri"/>
        <family val="2"/>
        <scheme val="minor"/>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rgb="FFB4C6E7"/>
        </patternFill>
      </fill>
      <alignment horizontal="center" vertical="center" textRotation="0" wrapText="0" indent="0" justifyLastLine="0" shrinkToFit="0" readingOrder="0"/>
      <border diagonalUp="0" diagonalDown="0">
        <left style="thin">
          <color indexed="64"/>
        </left>
        <right style="thin">
          <color indexed="64"/>
        </right>
        <top/>
        <bottom/>
      </border>
    </dxf>
    <dxf>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0" formatCode="d\-mmm\-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20" formatCode="d\-mmm\-yy"/>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0" formatCode="d\-mmm\-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0" formatCode="d\-mmm\-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0" formatCode="d\-mmm\-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0" formatCode="d\-mmm\-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0" formatCode="d\-mmm\-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font>
        <b/>
        <strike val="0"/>
        <outline val="0"/>
        <shadow val="0"/>
        <u val="none"/>
        <vertAlign val="baseline"/>
        <sz val="12"/>
        <color rgb="FF3F3F3F"/>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0" formatCode="d\-mmm\-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1" defaultTableStyle="TableStyleMedium2" defaultPivotStyle="PivotStyleLight16">
    <tableStyle name="Table Style 1" pivot="0" count="0" xr9:uid="{282079C8-9ECC-44D6-826B-FA093B0D1629}"/>
  </tableStyles>
  <colors>
    <mruColors>
      <color rgb="FF09F5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55639C1-AAA7-4E0D-86D6-51202152E9F2}" name="OSRORatingRequirements" displayName="OSRORatingRequirements" ref="C8:F18" totalsRowShown="0" headerRowDxfId="128" headerRowBorderDxfId="127" tableBorderDxfId="126" totalsRowBorderDxfId="125">
  <autoFilter ref="C8:F18" xr:uid="{F55639C1-AAA7-4E0D-86D6-51202152E9F2}">
    <filterColumn colId="0" hiddenButton="1"/>
    <filterColumn colId="1" hiddenButton="1"/>
    <filterColumn colId="2" hiddenButton="1"/>
    <filterColumn colId="3" hiddenButton="1"/>
  </autoFilter>
  <tableColumns count="4">
    <tableColumn id="1" xr3:uid="{2AE1A26E-E3C4-41FC-B6A6-DBE66C2D56DF}" name="Hour Rating" dataDxfId="124"/>
    <tableColumn id="2" xr3:uid="{C3176B4E-61A6-47B7-B18C-B73BBAD29EB0}" name="Containment Boom" dataDxfId="123"/>
    <tableColumn id="3" xr3:uid="{170160FD-B18C-4B51-892E-A1FEF85DE712}" name="Recovery (EDRC)" dataDxfId="122"/>
    <tableColumn id="4" xr3:uid="{AC867BA2-2CA8-48E2-9700-EE62834124DA}" name="Storage (BBLS)" dataDxfId="121"/>
  </tableColumns>
  <tableStyleInfo name="TableStyleLight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98E595-476B-4DCC-94C2-47B08AE3AA24}" name="MarineExpirationDates" displayName="MarineExpirationDates" ref="A1:Q14" totalsRowShown="0" headerRowDxfId="120" headerRowBorderDxfId="119" tableBorderDxfId="118" totalsRowBorderDxfId="117">
  <tableColumns count="17">
    <tableColumn id="1" xr3:uid="{56C8D438-5519-4E21-BB57-323C35F6F8C0}" name="OSRO Name" dataDxfId="116"/>
    <tableColumn id="2" xr3:uid="{02A848E4-17F5-44AB-A42F-B7A888480D50}" name="ExpirationDates" dataDxfId="115"/>
    <tableColumn id="5" xr3:uid="{AACDAE17-1FD2-4A91-887E-4E9B302082B0}" name="14 Day" dataDxfId="114">
      <calculatedColumnFormula>IF(MarineExpirationDates[[#This Row],[ExpirationDates]]="Expired", "Expired",MarineExpirationDates[[#This Row],[ExpirationDates]]-14)</calculatedColumnFormula>
    </tableColumn>
    <tableColumn id="4" xr3:uid="{59153DC3-9A24-4DF4-8347-D73FE8422F81}" name="14 Day Yes" dataDxfId="113">
      <calculatedColumnFormula>IF(MarineExpirationDates[[#This Row],[14 Day]]&lt;=$T$2,"Yes","No")</calculatedColumnFormula>
    </tableColumn>
    <tableColumn id="6" xr3:uid="{63327134-CD53-4786-8C1A-5253DCD4E2E1}" name="30 Day" dataDxfId="112">
      <calculatedColumnFormula>IF(MarineExpirationDates[[#This Row],[ExpirationDates]]="Expired", "Expired",MarineExpirationDates[[#This Row],[ExpirationDates]]-30)</calculatedColumnFormula>
    </tableColumn>
    <tableColumn id="7" xr3:uid="{342E822A-AE1C-4D28-A635-AB0EC14DEDF0}" name="30 Day Yes" dataDxfId="111">
      <calculatedColumnFormula>IF(MarineExpirationDates[[#This Row],[30 Day]]&lt;=$T$2,"Yes","No")</calculatedColumnFormula>
    </tableColumn>
    <tableColumn id="8" xr3:uid="{F14C7100-DEB5-4E0D-ABCD-457053C50DD8}" name="120 Day" dataDxfId="110">
      <calculatedColumnFormula>IF(MarineExpirationDates[[#This Row],[ExpirationDates]]="Expired","Expired",MarineExpirationDates[[#This Row],[ExpirationDates]]-120)</calculatedColumnFormula>
    </tableColumn>
    <tableColumn id="9" xr3:uid="{01A5CBF5-C6F9-4732-BC12-ED51FEBEBC3A}" name="120 Day Yes" dataDxfId="109">
      <calculatedColumnFormula>IF(MarineExpirationDates[[#This Row],[120 Day]]&lt;=$T$2,"Yes","No")</calculatedColumnFormula>
    </tableColumn>
    <tableColumn id="10" xr3:uid="{985C59BB-0B06-4017-B06E-E7A02433E1F8}" name="120-Day Reminder Email" dataDxfId="108"/>
    <tableColumn id="17" xr3:uid="{5FF7D90A-C377-44AD-AC87-F4599EB29BFD}" name="30-Day Reminder Email" dataDxfId="107"/>
    <tableColumn id="18" xr3:uid="{B03B8C7B-96E9-4683-AFC7-BC26637AA56F}" name="14-Day Reminder Email" dataDxfId="106"/>
    <tableColumn id="11" xr3:uid="{EE802384-3B72-49B1-83A1-5B79A15039F6}" name="Interim Rating Letter Issued" dataDxfId="105"/>
    <tableColumn id="12" xr3:uid="{ADB0E979-055B-43D4-B025-6066687D2EC4}" name="Date Application Received" dataDxfId="104"/>
    <tableColumn id="13" xr3:uid="{77B62378-E8D9-44C8-BA8C-6683CDEE615A}" name="Application Review Status" dataDxfId="103"/>
    <tableColumn id="14" xr3:uid="{0A810B37-0A6F-49BE-A38E-671DC4E9D606}" name="Drill/Insp Date" dataDxfId="102"/>
    <tableColumn id="15" xr3:uid="{2038D1D0-BB71-4CFC-84CC-09C6312E2A33}" name=" Drill/Insp Location" dataDxfId="101"/>
    <tableColumn id="16" xr3:uid="{8A1D2B9B-77F4-4303-B324-C5CD48C2D5AB}" name="Drill/Insp Status" dataDxfId="100"/>
  </tableColumns>
  <tableStyleInfo name="TableStyleLight1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F340AC4-473F-433C-88BE-AF1F75EAF489}" name="ACP2SanFranciscoBayandDeltaPart124" displayName="ACP2SanFranciscoBayandDeltaPart124" ref="B20:I29" totalsRowShown="0" headerRowDxfId="99" dataDxfId="97" headerRowBorderDxfId="98" tableBorderDxfId="96" totalsRowBorderDxfId="95">
  <tableColumns count="8">
    <tableColumn id="1" xr3:uid="{8D493409-1568-423A-9159-9B6C35917BB9}" name="OSRO Name" dataDxfId="94"/>
    <tableColumn id="2" xr3:uid="{8B95A497-C779-4146-9AA0-4FF6ABDC4548}" name="Expiration Date" dataDxfId="93">
      <calculatedColumnFormula>_xlfn.XLOOKUP(ACP2SanFranciscoBayandDeltaPart124[[#This Row],[OSRO Name]],ExpirationDates!A:A,ExpirationDates!B:B,"ERROR")</calculatedColumnFormula>
    </tableColumn>
    <tableColumn id="3" xr3:uid="{FE75733D-0172-496A-8AA6-747B35446E3A}" name="Environmental Sensitive Site Protection" dataDxfId="92"/>
    <tableColumn id="4" xr3:uid="{4B250851-B3F9-44F9-9C62-80E356FA8678}" name="GRA 1_x000a_Sonoma &amp; Marin Counties Coastal " dataDxfId="91"/>
    <tableColumn id="5" xr3:uid="{95CF343F-0C7D-4D8E-A2BA-6420D6364831}" name="GRA 2_x000a_Marin, SF &amp; San Mateo Counties Coastal" dataDxfId="90"/>
    <tableColumn id="6" xr3:uid="{692E961B-AB3E-4D9F-A407-313EC9BD0A27}" name="GRA 3_x000a_South SF Bay" dataDxfId="89"/>
    <tableColumn id="7" xr3:uid="{51C75BAF-8081-4977-87B3-2821DA317FD2}" name="GRA 4_x000a_Central SF Bay" dataDxfId="88"/>
    <tableColumn id="8" xr3:uid="{90FCCC40-3065-4546-AD65-97A04BF65A99}" name="GRA 5_x000a_San Pablo Bay" dataDxfId="87"/>
  </tableColumns>
  <tableStyleInfo name="TableStyleLight1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8B43E92-5CCF-4B7A-B7F7-786ED076981D}" name="ACP3CentralCoast25" displayName="ACP3CentralCoast25" ref="B46:I55" totalsRowShown="0" headerRowDxfId="86" dataDxfId="85" tableBorderDxfId="84" totalsRowBorderDxfId="83" headerRowCellStyle="Output">
  <tableColumns count="8">
    <tableColumn id="1" xr3:uid="{70894B0A-BE7F-4A95-B9CB-1C896B6B8DC3}" name="OSRO Name" dataDxfId="82"/>
    <tableColumn id="2" xr3:uid="{19FD34FA-17DF-4049-9AD6-70AD026132C2}" name="Expiration Date" dataDxfId="81">
      <calculatedColumnFormula>_xlfn.XLOOKUP(ACP3CentralCoast25[[#This Row],[OSRO Name]],ExpirationDates!A:A,ExpirationDates!B:B,"ERROR")</calculatedColumnFormula>
    </tableColumn>
    <tableColumn id="3" xr3:uid="{79D1EA36-698D-4DDF-AB5A-95B8CF55A72B}" name="Environmental Sensitive Site Protection" dataDxfId="80"/>
    <tableColumn id="4" xr3:uid="{D370D79D-E011-4843-9314-F54681BDD9A3}" name="GRA 1_x000a_North Santa Cruz County " dataDxfId="79"/>
    <tableColumn id="5" xr3:uid="{40DE7A14-A2A6-4EC5-961C-1469C45A720B}" name="GRA 2_x000a_South Santa Cruz County " dataDxfId="78"/>
    <tableColumn id="6" xr3:uid="{A882A618-9836-47E1-92EB-77ACDF418493}" name="GRA 3_x000a_North Monterey County " dataDxfId="77"/>
    <tableColumn id="7" xr3:uid="{F086D3D9-9F21-4E35-92A8-0A6E105337A2}" name="GRA 4_x000a_Central Monterey County " dataDxfId="76"/>
    <tableColumn id="8" xr3:uid="{24257FC1-50D7-46F3-9CF1-987B442F95C6}" name="GRA 5_x000a_South Monterey County" dataDxfId="75"/>
  </tableColumns>
  <tableStyleInfo name="TableStyleLight1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892678F-4803-4BB6-8B09-AAF99E84009E}" name="ACP4LALBNorth26" displayName="ACP4LALBNorth26" ref="B59:H69" totalsRowShown="0" headerRowDxfId="74" dataDxfId="72" headerRowBorderDxfId="73" tableBorderDxfId="71" totalsRowBorderDxfId="70">
  <tableColumns count="7">
    <tableColumn id="1" xr3:uid="{7DC45764-EC99-4083-9AA5-1BF191E08B5A}" name="OSRO Name" dataDxfId="69"/>
    <tableColumn id="2" xr3:uid="{8D996B90-A25B-4C82-9BB4-63DD22A204EC}" name="Expiration Date" dataDxfId="68">
      <calculatedColumnFormula>_xlfn.XLOOKUP(ACP4LALBNorth26[[#This Row],[OSRO Name]],ExpirationDates!A:A,ExpirationDates!B:B,"ERROR")</calculatedColumnFormula>
    </tableColumn>
    <tableColumn id="3" xr3:uid="{7C0FC453-2C12-4B40-BA43-4F0C6C3F5A2E}" name="Environmental Sensitive Site Protection" dataDxfId="67"/>
    <tableColumn id="4" xr3:uid="{0017039A-A5CD-4145-806D-C1156FBFB09F}" name="GRA 1, 2, &amp; 4_x000a_San Luis Obispo" dataDxfId="66"/>
    <tableColumn id="5" xr3:uid="{61FB758C-C45B-403C-A423-7EB6DE942507}" name="GRA 5 &amp; 6_x000a_Santa Barbara" dataDxfId="65"/>
    <tableColumn id="6" xr3:uid="{EEC7B5E2-FEE5-484B-B2E6-DD0998D74F1E}" name="GRA 7_x000a_Port Hueneme " dataDxfId="64"/>
    <tableColumn id="7" xr3:uid="{8D85B3AB-4C03-4409-868C-73CC1AA26956}" name="GRA 8_x000a_Channel Islands" dataDxfId="63"/>
  </tableColumns>
  <tableStyleInfo name="TableStyleLight1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5E2FD8E-D43B-4762-81D1-D0A97E5EA00B}" name="ACP5LALBSouth27" displayName="ACP5LALBSouth27" ref="B73:G83" totalsRowShown="0" headerRowDxfId="62" headerRowBorderDxfId="61" tableBorderDxfId="60" totalsRowBorderDxfId="59">
  <tableColumns count="6">
    <tableColumn id="1" xr3:uid="{A71C79BF-2602-4216-9221-A87EE328A126}" name="OSRO Name" dataDxfId="58"/>
    <tableColumn id="2" xr3:uid="{A8AE26B1-5ADC-4AB9-93D5-5B8CA50E3A71}" name="Expiration Date" dataDxfId="57"/>
    <tableColumn id="3" xr3:uid="{0D6FAC15-D7D2-451F-A528-075934D793F7}" name="Environmental Sensitive Site Protection" dataDxfId="56"/>
    <tableColumn id="4" xr3:uid="{CBCA24E3-6F2F-497A-8B53-6F75BDBB3425}" name="GRA 1 &amp; 2_x000a_L.A. County" dataDxfId="55"/>
    <tableColumn id="5" xr3:uid="{93AA36CB-E4F5-404E-B459-E24FD6481BD9}" name="GRA 3_x000a_Orange County" dataDxfId="54"/>
    <tableColumn id="6" xr3:uid="{A890963F-005F-44DF-B34B-C7C338469B20}" name="GRA 4_x000a_Los Angeles &amp; Ventura Counties" dataDxfId="53"/>
  </tableColumns>
  <tableStyleInfo name="TableStyleLight1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B0BB92F-4FA9-49DA-9BDD-3AF3B12A5E9F}" name="ACP6SanDiego28" displayName="ACP6SanDiego28" ref="B87:I96" totalsRowShown="0" headerRowDxfId="52" dataDxfId="50" headerRowBorderDxfId="51" tableBorderDxfId="49" totalsRowBorderDxfId="48">
  <tableColumns count="8">
    <tableColumn id="1" xr3:uid="{071D48D6-A2C3-40FD-AB9B-0556BEC1E36D}" name="OSRO Name" dataDxfId="47"/>
    <tableColumn id="2" xr3:uid="{04D8EF78-7641-4618-9966-84DD97170E1C}" name="Expiration Date" dataDxfId="46">
      <calculatedColumnFormula>_xlfn.XLOOKUP(ACP6SanDiego28[[#This Row],[OSRO Name]],ExpirationDates!A:A,ExpirationDates!B:B,"ERROR")</calculatedColumnFormula>
    </tableColumn>
    <tableColumn id="3" xr3:uid="{5B36F725-0D69-473D-9DA7-6D8BEC1F4F74}" name="Environemtal Sensitive Site Protection" dataDxfId="45"/>
    <tableColumn id="4" xr3:uid="{9AE9E312-05AE-4DCB-9A49-6FD5CAF71960}" name="GRA 1_x000a_Camp Pendleton" dataDxfId="44"/>
    <tableColumn id="5" xr3:uid="{E251405F-2195-4E5A-A839-5F0F8F0E78EF}" name="GRA 2_x000a_North San Diego County" dataDxfId="43"/>
    <tableColumn id="6" xr3:uid="{2C4EBC14-509E-469D-9533-277E58621FFE}" name="GRA 3_x000a_Central San Diego County " dataDxfId="42"/>
    <tableColumn id="7" xr3:uid="{36437CDA-B7D5-41F8-B0BE-01C7A3B316ED}" name="GRA 4_x000a_South San Diego County  " dataDxfId="41"/>
    <tableColumn id="8" xr3:uid="{79D421DE-80FF-465F-96CC-519E32433D2F}" name="GRA 5_x000a_San Clemente Island" dataDxfId="40"/>
  </tableColumns>
  <tableStyleInfo name="TableStyleLight1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F5321DF-D7FF-4276-ABB2-AAE0B93D1C06}" name="ACP2SanFranciscoBayandDeltaPart229" displayName="ACP2SanFranciscoBayandDeltaPart229" ref="B33:I42" totalsRowShown="0" headerRowDxfId="39" dataDxfId="37" headerRowBorderDxfId="38" tableBorderDxfId="36" totalsRowBorderDxfId="35">
  <tableColumns count="8">
    <tableColumn id="1" xr3:uid="{94096B9D-174E-4D56-852A-9E007F5B23E2}" name="OSRO Name" dataDxfId="34"/>
    <tableColumn id="2" xr3:uid="{63F18526-8625-4986-B110-D5496BE17492}" name="Expiration Date" dataDxfId="33">
      <calculatedColumnFormula>_xlfn.XLOOKUP(ACP2SanFranciscoBayandDeltaPart229[[#This Row],[OSRO Name]],ExpirationDates!A:A,ExpirationDates!B:B,"ERROR")</calculatedColumnFormula>
    </tableColumn>
    <tableColumn id="3" xr3:uid="{F0BEDFBA-DD5E-4938-B50D-0764304DC5E0}" name="Environmental Sensitive Site Protection" dataDxfId="32"/>
    <tableColumn id="4" xr3:uid="{0EE7DE86-F5FA-4E51-84BE-3E6CD073A3FF}" name="GRA 6_x000a_Carquinez Strait &amp; Suisun Bay " dataDxfId="31"/>
    <tableColumn id="5" xr3:uid="{599AEA6B-1A4B-4281-994A-B5DFE382E9FD}" name="GRA 7_x000a_West Delta" dataDxfId="30"/>
    <tableColumn id="6" xr3:uid="{963DE4BA-89A2-4480-BDD6-A3EE549DE7C4}" name="GRA 8_x000a_North Delta " dataDxfId="29"/>
    <tableColumn id="7" xr3:uid="{D6D38950-027B-4CDE-AD75-56328ABC90B4}" name="GRA 9_x000a_South Delta" dataDxfId="28"/>
    <tableColumn id="8" xr3:uid="{58196B02-1BC0-40D9-88F6-8B66721889D9}" name="GRA 10_x000a_East Delta" dataDxfId="27"/>
  </tableColumns>
  <tableStyleInfo name="TableStyleLight1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7BDD8D8-F895-45E8-8347-B8713FFEE1DE}" name="OPRA30" displayName="OPRA30" ref="B100:E109" totalsRowShown="0" headerRowDxfId="26" headerRowBorderDxfId="25" tableBorderDxfId="24" totalsRowBorderDxfId="23">
  <autoFilter ref="B100:E109" xr:uid="{0EC472FF-5128-4404-A15A-F88FB26ADCB6}">
    <filterColumn colId="0" hiddenButton="1"/>
    <filterColumn colId="1" hiddenButton="1"/>
    <filterColumn colId="2" hiddenButton="1"/>
    <filterColumn colId="3" hiddenButton="1"/>
  </autoFilter>
  <tableColumns count="4">
    <tableColumn id="1" xr3:uid="{2E2E97C0-E550-4FF3-AB25-6F7D98D92F1B}" name="OPRA Name" dataDxfId="22"/>
    <tableColumn id="2" xr3:uid="{2BA5E7BF-DFFD-49E4-B11E-748007EFFA6F}" name="Latitude/Longitude" dataDxfId="21"/>
    <tableColumn id="3" xr3:uid="{BC2EA7EF-2C30-4E21-8089-440E51530438}" name="ACP/GRA" dataDxfId="20"/>
    <tableColumn id="4" xr3:uid="{7431B5CD-C0E1-4DBF-8827-3807C195EB48}" name="OSROs Rated for OPRA" dataDxfId="19"/>
  </tableColumns>
  <tableStyleInfo name="TableStyleLight1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152D70E9-0B62-451F-BFBD-0B13D6874DDE}" name="ACP1NorthCoast31" displayName="ACP1NorthCoast31" ref="B7:H16" totalsRowShown="0" headerRowDxfId="18" dataDxfId="16" headerRowBorderDxfId="17" tableBorderDxfId="15" totalsRowBorderDxfId="14">
  <tableColumns count="7">
    <tableColumn id="1" xr3:uid="{B195B925-444A-40CE-8336-15EFB0B46178}" name="OSRO Name" dataDxfId="13"/>
    <tableColumn id="2" xr3:uid="{3DCFBDFA-0EAC-4A6D-BFAA-C734B9B80940}" name="Expiration Date" dataDxfId="12">
      <calculatedColumnFormula>_xlfn.XLOOKUP(ACP1NorthCoast31[[#This Row],[OSRO Name]],ExpirationDates!A:A,ExpirationDates!B:B,"ERROR")</calculatedColumnFormula>
    </tableColumn>
    <tableColumn id="3" xr3:uid="{ACA7D3AF-18AE-459E-9239-1766FD31ABA8}" name="Environmental Sensitive Site Protection" dataDxfId="11"/>
    <tableColumn id="4" xr3:uid="{469E0335-8E53-4E12-B0DB-2255E32CD09F}" name="GRA 1_x000a_Del Norte County" dataDxfId="10"/>
    <tableColumn id="5" xr3:uid="{B92EB650-6491-42BA-AD10-5A4D529F93D4}" name="GRA 2_x000a_Humboldt County Coastal" dataDxfId="9"/>
    <tableColumn id="6" xr3:uid="{E333FA03-EF7A-4AE7-80D4-8C6013B551C8}" name="GRA 3_x000a_Humbolt Bay" dataDxfId="8"/>
    <tableColumn id="7" xr3:uid="{E08FA444-2BA4-4808-AEA8-786EC21B0421}" name="GRA 4_x000a_Mendocino County" dataDxfId="7"/>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D314E8-4468-47AC-9580-0F18586B788A}" name="ACP2SanFranciscoBayandDeltaPart1" displayName="ACP2SanFranciscoBayandDeltaPart1" ref="B20:I29" totalsRowShown="0" headerRowDxfId="221" dataDxfId="219" headerRowBorderDxfId="220" tableBorderDxfId="218" totalsRowBorderDxfId="217">
  <tableColumns count="8">
    <tableColumn id="1" xr3:uid="{6BE85391-7DB6-4F4A-AAFE-B87750205EE5}" name="OSRO Name" dataDxfId="216"/>
    <tableColumn id="2" xr3:uid="{B457C099-B979-4F39-B751-576593BB438E}" name="Expiration Date" dataDxfId="215">
      <calculatedColumnFormula>_xlfn.XLOOKUP(ACP2SanFranciscoBayandDeltaPart1[[#This Row],[OSRO Name]],ACP2SanFranciscoBayandDeltaPart124[OSRO Name],ACP2SanFranciscoBayandDeltaPart124[Expiration Date],"ERROR")</calculatedColumnFormula>
    </tableColumn>
    <tableColumn id="3" xr3:uid="{FBA357DC-404A-4EBE-98A7-82B5909ADF30}" name="Environmental Sensitive Site Protection" dataDxfId="214">
      <calculatedColumnFormula>_xlfn.XLOOKUP(ACP2SanFranciscoBayandDeltaPart1[[#This Row],[OSRO Name]],ACP2SanFranciscoBayandDeltaPart124[OSRO Name],ACP2SanFranciscoBayandDeltaPart124[Environmental Sensitive Site Protection],"ERROR")</calculatedColumnFormula>
    </tableColumn>
    <tableColumn id="4" xr3:uid="{823384F3-51B1-4929-BC01-1195E52E6D03}" name="GRA 1_x000a_Sonoma &amp; Marin Counties Coastal " dataDxfId="213">
      <calculatedColumnFormula>_xlfn.XLOOKUP(ACP2SanFranciscoBayandDeltaPart1[[#This Row],[OSRO Name]],ACP2SanFranciscoBayandDeltaPart124[OSRO Name],ACP2SanFranciscoBayandDeltaPart124[GRA 1
Sonoma &amp; Marin Counties Coastal ],"ERROR")</calculatedColumnFormula>
    </tableColumn>
    <tableColumn id="5" xr3:uid="{975EE10C-8ED7-4F17-9EC0-D7B733275967}" name="GRA 2_x000a_Marin, SF &amp; San Mateo Counties Coastal" dataDxfId="212">
      <calculatedColumnFormula>_xlfn.XLOOKUP(ACP2SanFranciscoBayandDeltaPart1[[#This Row],[OSRO Name]],ACP2SanFranciscoBayandDeltaPart124[OSRO Name],ACP2SanFranciscoBayandDeltaPart124[GRA 2
Marin, SF &amp; San Mateo Counties Coastal],"ERROR")</calculatedColumnFormula>
    </tableColumn>
    <tableColumn id="6" xr3:uid="{70ACFA9C-8E4D-4D07-97B1-6A8CA796B9C0}" name="GRA 3_x000a_South SF Bay" dataDxfId="211">
      <calculatedColumnFormula>_xlfn.XLOOKUP(ACP2SanFranciscoBayandDeltaPart1[[#This Row],[OSRO Name]],ACP2SanFranciscoBayandDeltaPart124[OSRO Name],ACP2SanFranciscoBayandDeltaPart124[GRA 3
South SF Bay],"ERROR")</calculatedColumnFormula>
    </tableColumn>
    <tableColumn id="7" xr3:uid="{FADBE1D9-79BB-4F73-A945-81BCFF8204B6}" name="GRA 4_x000a_Central SF Bay" dataDxfId="210">
      <calculatedColumnFormula>_xlfn.XLOOKUP(ACP2SanFranciscoBayandDeltaPart1[[#This Row],[OSRO Name]],ACP2SanFranciscoBayandDeltaPart124[OSRO Name],ACP2SanFranciscoBayandDeltaPart124[GRA 4
Central SF Bay],"ERROR")</calculatedColumnFormula>
    </tableColumn>
    <tableColumn id="8" xr3:uid="{BD00F5E1-3DDE-4D6B-A9D7-5FF806735735}" name="GRA 5_x000a_San Pablo Bay" dataDxfId="209">
      <calculatedColumnFormula>_xlfn.XLOOKUP(ACP2SanFranciscoBayandDeltaPart1[[#This Row],[OSRO Name]],ACP2SanFranciscoBayandDeltaPart124[OSRO Name],ACP2SanFranciscoBayandDeltaPart124[GRA 5
San Pablo Bay],"ERROR")</calculatedColumnFormula>
    </tableColumn>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84212F1-226A-4E16-AB4A-DE00FEF60AB4}" name="ACP3CentralCoast" displayName="ACP3CentralCoast" ref="B46:I55" totalsRowShown="0" headerRowDxfId="208" dataDxfId="207" tableBorderDxfId="206" totalsRowBorderDxfId="205" headerRowCellStyle="Output">
  <tableColumns count="8">
    <tableColumn id="1" xr3:uid="{2132CCBC-A49B-49C0-8326-05E0A8D1C79E}" name="OSRO Name" dataDxfId="204"/>
    <tableColumn id="2" xr3:uid="{9A97ADE7-4948-4A88-8F72-6B81E1262ED2}" name="Expiration Date" dataDxfId="203">
      <calculatedColumnFormula>_xlfn.XLOOKUP(ACP3CentralCoast[[#This Row],[OSRO Name]],ACP3CentralCoast25[OSRO Name],ACP3CentralCoast25[Expiration Date],"ERROR")</calculatedColumnFormula>
    </tableColumn>
    <tableColumn id="3" xr3:uid="{64E12940-15BC-4409-A8FC-7A4E4ED6A868}" name="Environmental Sensitive Site Protection" dataDxfId="202">
      <calculatedColumnFormula>_xlfn.XLOOKUP(ACP3CentralCoast[[#This Row],[OSRO Name]],ACP3CentralCoast25[OSRO Name],ACP3CentralCoast25[Environmental Sensitive Site Protection],"Error")</calculatedColumnFormula>
    </tableColumn>
    <tableColumn id="4" xr3:uid="{F5F3384A-0ED2-46AE-AC4D-7FACF3A633CE}" name="GRA 1_x000a_North Santa Cruz County " dataDxfId="201">
      <calculatedColumnFormula>_xlfn.XLOOKUP(ACP3CentralCoast[[#This Row],[OSRO Name]],ACP3CentralCoast25[OSRO Name],ACP3CentralCoast25[GRA 1
North Santa Cruz County ],"ERROR")</calculatedColumnFormula>
    </tableColumn>
    <tableColumn id="5" xr3:uid="{C1FDEA96-3061-4127-BD04-E6E784956213}" name="GRA 2_x000a_South Santa Cruz County " dataDxfId="200">
      <calculatedColumnFormula>_xlfn.XLOOKUP(ACP3CentralCoast[[#This Row],[OSRO Name]],ACP3CentralCoast25[OSRO Name],ACP3CentralCoast25[GRA 2
South Santa Cruz County ],"ERROR")</calculatedColumnFormula>
    </tableColumn>
    <tableColumn id="6" xr3:uid="{9A2BD6FF-E32D-46D8-B737-31288B34EF0D}" name="GRA 3_x000a_North Monterey County " dataDxfId="199">
      <calculatedColumnFormula>_xlfn.XLOOKUP(ACP3CentralCoast[[#This Row],[OSRO Name]],ACP3CentralCoast25[OSRO Name],ACP3CentralCoast25[GRA 3
North Monterey County ],"ERROR")</calculatedColumnFormula>
    </tableColumn>
    <tableColumn id="7" xr3:uid="{AA5CBE70-9396-4605-8DA7-002544E5EF9D}" name="GRA 4_x000a_Central Monterey County " dataDxfId="198">
      <calculatedColumnFormula>_xlfn.XLOOKUP(ACP3CentralCoast[[#This Row],[OSRO Name]],ACP3CentralCoast25[OSRO Name],ACP3CentralCoast25[GRA 4
Central Monterey County ],"ERROR")</calculatedColumnFormula>
    </tableColumn>
    <tableColumn id="8" xr3:uid="{2EAF3055-11B0-4E97-BD52-1ECF4707AD55}" name="GRA 5_x000a_South Monterey County" dataDxfId="197">
      <calculatedColumnFormula>_xlfn.XLOOKUP(ACP3CentralCoast[[#This Row],[OSRO Name]],ACP3CentralCoast25[OSRO Name],ACP3CentralCoast25[GRA 5
South Monterey County],"ERROR")</calculatedColumnFormula>
    </tableColumn>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55179E6-44C5-462D-AFA1-2416E1CF3888}" name="ACP4LALBNorth" displayName="ACP4LALBNorth" ref="B59:H69" totalsRowShown="0" headerRowDxfId="196" dataDxfId="194" headerRowBorderDxfId="195" tableBorderDxfId="193" totalsRowBorderDxfId="192">
  <tableColumns count="7">
    <tableColumn id="1" xr3:uid="{77ABE79D-E7A2-4A7C-8DE6-059A41BB1473}" name="OSRO Name" dataDxfId="191"/>
    <tableColumn id="2" xr3:uid="{36A88E45-CA4E-45C9-9C77-D5E242E852C9}" name="Expiration Date" dataDxfId="190">
      <calculatedColumnFormula>_xlfn.XLOOKUP(ACP4LALBNorth[[#This Row],[OSRO Name]],ACP4LALBNorth26[OSRO Name],ACP4LALBNorth26[Expiration Date],"ERROR")</calculatedColumnFormula>
    </tableColumn>
    <tableColumn id="3" xr3:uid="{46EF51CA-0B15-4760-B5E0-E4E6E5BECF4F}" name="Environmental Sensitive Site Protection" dataDxfId="189">
      <calculatedColumnFormula>_xlfn.XLOOKUP(ACP4LALBNorth[[#This Row],[OSRO Name]],ACP4LALBNorth26[OSRO Name],ACP4LALBNorth26[Environmental Sensitive Site Protection],"ERROR")</calculatedColumnFormula>
    </tableColumn>
    <tableColumn id="4" xr3:uid="{F972BC9E-845B-4BC9-BBAD-B7872BEABDBE}" name="GRA 1, 2, 3 &amp; 4_x000a_San Luis Obispo" dataDxfId="188">
      <calculatedColumnFormula>_xlfn.XLOOKUP(ACP4LALBNorth[[#This Row],[OSRO Name]],ACP4LALBNorth26[OSRO Name],ACP4LALBNorth26[GRA 1, 2, &amp; 4
San Luis Obispo],"ERROR")</calculatedColumnFormula>
    </tableColumn>
    <tableColumn id="5" xr3:uid="{72224D36-53A4-41FA-83D6-71B39D905B6E}" name="GRA 5 &amp; 6_x000a_Santa Barbara" dataDxfId="187">
      <calculatedColumnFormula>_xlfn.XLOOKUP(ACP4LALBNorth[[#This Row],[OSRO Name]],ACP4LALBNorth26[OSRO Name],ACP4LALBNorth26[GRA 5 &amp; 6
Santa Barbara],"ERROR")</calculatedColumnFormula>
    </tableColumn>
    <tableColumn id="6" xr3:uid="{317C9B81-50AF-4215-844C-D5E470F4D7F8}" name="GRA 7_x000a_Port Hueneme " dataDxfId="186">
      <calculatedColumnFormula>_xlfn.XLOOKUP(ACP4LALBNorth[[#This Row],[OSRO Name]],ACP4LALBNorth26[OSRO Name],ACP4LALBNorth26[GRA 7
Port Hueneme ],"ERROR")</calculatedColumnFormula>
    </tableColumn>
    <tableColumn id="7" xr3:uid="{87665D93-C70F-4859-9B88-D3AC518451F8}" name="GRA 8_x000a_Channel Islands" dataDxfId="185">
      <calculatedColumnFormula>_xlfn.XLOOKUP(ACP4LALBNorth[[#This Row],[OSRO Name]],ACP4LALBNorth26[OSRO Name],ACP4LALBNorth26[GRA 8
Channel Islands],"ERROR")</calculatedColumnFormula>
    </tableColumn>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83D8865-794F-40D0-8D65-8B5A0740F660}" name="ACP5LALBSouth" displayName="ACP5LALBSouth" ref="B73:G83" totalsRowShown="0" headerRowDxfId="184" headerRowBorderDxfId="183" tableBorderDxfId="182" totalsRowBorderDxfId="181">
  <tableColumns count="6">
    <tableColumn id="1" xr3:uid="{A727837F-68F1-4D26-AA4E-3A386554BB33}" name="OSRO Name" dataDxfId="180"/>
    <tableColumn id="2" xr3:uid="{10CCA394-D572-4C48-8241-459704AA9028}" name="Expiration Date" dataDxfId="179">
      <calculatedColumnFormula>_xlfn.XLOOKUP(ACP5LALBSouth[[#This Row],[OSRO Name]],ACP5LALBSouth27[OSRO Name],ACP5LALBSouth27[Expiration Date],"ERROR")</calculatedColumnFormula>
    </tableColumn>
    <tableColumn id="3" xr3:uid="{7A30422A-AF92-4E0A-80C0-DDB8DEFEE64D}" name="Environmental Sensitive Site Protection" dataDxfId="178">
      <calculatedColumnFormula>_xlfn.XLOOKUP(ACP5LALBSouth[[#This Row],[OSRO Name]],ACP5LALBSouth27[OSRO Name],ACP5LALBSouth27[Environmental Sensitive Site Protection],"ERROR")</calculatedColumnFormula>
    </tableColumn>
    <tableColumn id="4" xr3:uid="{5D86CABB-11BD-417F-8317-EEE941E036B4}" name="GRA 1 &amp; 2_x000a_L.A. County" dataDxfId="177">
      <calculatedColumnFormula>_xlfn.XLOOKUP(ACP5LALBSouth[[#This Row],[OSRO Name]],ACP5LALBSouth27[OSRO Name],ACP5LALBSouth27[GRA 1 &amp; 2
L.A. County],"ERROR")</calculatedColumnFormula>
    </tableColumn>
    <tableColumn id="5" xr3:uid="{486496C3-4EC6-4B11-8AC9-64AC97C3930D}" name="GRA 3_x000a_Orange County" dataDxfId="176">
      <calculatedColumnFormula>_xlfn.XLOOKUP(ACP5LALBSouth[[#This Row],[OSRO Name]],ACP5LALBSouth27[OSRO Name],ACP5LALBSouth27[GRA 3
Orange County],"ERROR")</calculatedColumnFormula>
    </tableColumn>
    <tableColumn id="6" xr3:uid="{1810B46E-EDBC-439C-8FA5-4BEED8101D3C}" name="GRA 4_x000a_Los Angeles &amp; Ventura Counties" dataDxfId="175">
      <calculatedColumnFormula>_xlfn.XLOOKUP(ACP5LALBSouth[[#This Row],[OSRO Name]],ACP5LALBSouth27[OSRO Name],ACP5LALBSouth27[GRA 4
Los Angeles &amp; Ventura Counties],"ERROR")</calculatedColumnFormula>
    </tableColumn>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910299D-4908-41FF-BB36-3410BCCB6741}" name="ACP6SanDiego" displayName="ACP6SanDiego" ref="B87:I96" totalsRowShown="0" headerRowDxfId="174" dataDxfId="172" headerRowBorderDxfId="173" tableBorderDxfId="171" totalsRowBorderDxfId="170">
  <tableColumns count="8">
    <tableColumn id="1" xr3:uid="{36F653D9-5553-4B74-876C-325CE6985370}" name="OSRO Name" dataDxfId="169"/>
    <tableColumn id="2" xr3:uid="{23375DF3-594F-4D38-9365-7EA48AB7AAE4}" name="Expiration Date" dataDxfId="168">
      <calculatedColumnFormula>_xlfn.XLOOKUP(ACP6SanDiego[[#This Row],[OSRO Name]],ACP6SanDiego28[OSRO Name],ACP6SanDiego28[Expiration Date],"ERROR")</calculatedColumnFormula>
    </tableColumn>
    <tableColumn id="3" xr3:uid="{68C962CE-848E-4C97-97CB-CBB29BBEBAED}" name="Environmental Sensitive Site Protection" dataDxfId="167">
      <calculatedColumnFormula>_xlfn.XLOOKUP(ACP6SanDiego[[#This Row],[OSRO Name]],ACP6SanDiego28[OSRO Name],ACP6SanDiego28[Environemtal Sensitive Site Protection],"ERROR")</calculatedColumnFormula>
    </tableColumn>
    <tableColumn id="4" xr3:uid="{5A4443CE-CC3A-4380-B76A-99F40C12CEC2}" name="GRA 1_x000a_Camp Pendleton" dataDxfId="166">
      <calculatedColumnFormula>_xlfn.XLOOKUP(ACP6SanDiego[[#This Row],[OSRO Name]],ACP6SanDiego28[OSRO Name],ACP6SanDiego28[GRA 1
Camp Pendleton],"ERROR")</calculatedColumnFormula>
    </tableColumn>
    <tableColumn id="5" xr3:uid="{305011E6-ABE0-47D7-A734-604CCAAA3629}" name="GRA 2_x000a_North San Diego County" dataDxfId="165">
      <calculatedColumnFormula>_xlfn.XLOOKUP(ACP6SanDiego[[#This Row],[OSRO Name]],ACP6SanDiego28[OSRO Name],ACP6SanDiego28[GRA 2
North San Diego County],"ERROR")</calculatedColumnFormula>
    </tableColumn>
    <tableColumn id="6" xr3:uid="{7004F312-E039-416E-834D-2FB03E9C18ED}" name="GRA 3_x000a_Central San Diego County " dataDxfId="164">
      <calculatedColumnFormula>_xlfn.XLOOKUP(ACP6SanDiego[[#This Row],[OSRO Name]],ACP6SanDiego28[OSRO Name],ACP6SanDiego28[GRA 3
Central San Diego County ],"ERROR")</calculatedColumnFormula>
    </tableColumn>
    <tableColumn id="7" xr3:uid="{5B16DD7C-956B-4F9C-B239-82347DB935C9}" name="GRA 4_x000a_South San Diego County  " dataDxfId="163">
      <calculatedColumnFormula>_xlfn.XLOOKUP(ACP6SanDiego[[#This Row],[OSRO Name]],ACP6SanDiego28[OSRO Name],ACP6SanDiego28[GRA 4
South San Diego County  ],"ERROR")</calculatedColumnFormula>
    </tableColumn>
    <tableColumn id="8" xr3:uid="{BAFF2BF7-779F-49A0-B524-761156E9A23A}" name="GRA 5_x000a_San Clemente Island" dataDxfId="162">
      <calculatedColumnFormula>_xlfn.XLOOKUP(ACP6SanDiego[[#This Row],[OSRO Name]],ACP6SanDiego28[OSRO Name],ACP6SanDiego28[GRA 5
San Clemente Island],"ERROR")</calculatedColumnFormula>
    </tableColumn>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C40F64B-0489-410B-9891-31519EB594A6}" name="ACP2SanFranciscoBayandDeltaPart2" displayName="ACP2SanFranciscoBayandDeltaPart2" ref="B33:I42" totalsRowShown="0" headerRowDxfId="161" dataDxfId="159" headerRowBorderDxfId="160" tableBorderDxfId="158" totalsRowBorderDxfId="157">
  <tableColumns count="8">
    <tableColumn id="1" xr3:uid="{EFE189D4-B21D-4612-8C96-CB7AE896F9C7}" name="OSRO Name" dataDxfId="156"/>
    <tableColumn id="2" xr3:uid="{9DB42114-FA57-498D-BD3F-89C58AFCF4EB}" name="Expiration Date" dataDxfId="155">
      <calculatedColumnFormula>_xlfn.XLOOKUP(ACP2SanFranciscoBayandDeltaPart2[[#This Row],[OSRO Name]],ACP2SanFranciscoBayandDeltaPart229[OSRO Name],ACP2SanFranciscoBayandDeltaPart229[Expiration Date],"ERROR")</calculatedColumnFormula>
    </tableColumn>
    <tableColumn id="3" xr3:uid="{9F8EF747-0B4E-46F9-8904-133AA804788B}" name="Environmental Sensitive Site Protection" dataDxfId="154">
      <calculatedColumnFormula>_xlfn.XLOOKUP(ACP2SanFranciscoBayandDeltaPart2[[#This Row],[OSRO Name]],ACP2SanFranciscoBayandDeltaPart229[OSRO Name],ACP2SanFranciscoBayandDeltaPart229[Environmental Sensitive Site Protection],"ERROR")</calculatedColumnFormula>
    </tableColumn>
    <tableColumn id="4" xr3:uid="{D4C8BFB4-4ECB-41A9-A2AB-79D731BB6FBA}" name="GRA 6_x000a_Carquinez Strait &amp; Suisun Bay " dataDxfId="153">
      <calculatedColumnFormula>_xlfn.XLOOKUP(ACP2SanFranciscoBayandDeltaPart2[[#This Row],[OSRO Name]],ACP2SanFranciscoBayandDeltaPart229[OSRO Name],ACP2SanFranciscoBayandDeltaPart229[GRA 6
Carquinez Strait &amp; Suisun Bay ],"ERROR")</calculatedColumnFormula>
    </tableColumn>
    <tableColumn id="5" xr3:uid="{93DFDD08-E595-4526-A3E9-520F001414C9}" name="GRA 7_x000a_West Delta" dataDxfId="152">
      <calculatedColumnFormula>_xlfn.XLOOKUP(ACP2SanFranciscoBayandDeltaPart2[[#This Row],[OSRO Name]],ACP2SanFranciscoBayandDeltaPart229[OSRO Name],ACP2SanFranciscoBayandDeltaPart229[GRA 7
West Delta],"ERROR")</calculatedColumnFormula>
    </tableColumn>
    <tableColumn id="6" xr3:uid="{E70E2079-1C89-4418-BD04-4D51C2228EB1}" name="GRA 8_x000a_North Delta " dataDxfId="151">
      <calculatedColumnFormula>_xlfn.XLOOKUP(ACP2SanFranciscoBayandDeltaPart2[[#This Row],[OSRO Name]],ACP2SanFranciscoBayandDeltaPart229[OSRO Name],ACP2SanFranciscoBayandDeltaPart229[GRA 8
North Delta ],"ERROR")</calculatedColumnFormula>
    </tableColumn>
    <tableColumn id="7" xr3:uid="{226AA339-329E-4F67-9654-DE61D68779B5}" name="GRA 9_x000a_South Delta" dataDxfId="150">
      <calculatedColumnFormula>_xlfn.XLOOKUP(ACP2SanFranciscoBayandDeltaPart2[[#This Row],[OSRO Name]],ACP2SanFranciscoBayandDeltaPart229[OSRO Name],ACP2SanFranciscoBayandDeltaPart229[GRA 9
South Delta],"ERROR")</calculatedColumnFormula>
    </tableColumn>
    <tableColumn id="8" xr3:uid="{766F5CD7-EDE6-4231-9E8B-C352A62C6CE5}" name="GRA 10_x000a_East Delta" dataDxfId="149">
      <calculatedColumnFormula>_xlfn.XLOOKUP(ACP2SanFranciscoBayandDeltaPart2[[#This Row],[OSRO Name]],ACP2SanFranciscoBayandDeltaPart229[OSRO Name],ACP2SanFranciscoBayandDeltaPart229[GRA 10
East Delta],"ERROR")</calculatedColumnFormula>
    </tableColumn>
  </tableColumns>
  <tableStyleInfo name="TableStyleLight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EC472FF-5128-4404-A15A-F88FB26ADCB6}" name="OPRA" displayName="OPRA" ref="B100:E109" totalsRowShown="0" headerRowDxfId="148" headerRowBorderDxfId="147" tableBorderDxfId="146" totalsRowBorderDxfId="145">
  <autoFilter ref="B100:E109" xr:uid="{0EC472FF-5128-4404-A15A-F88FB26ADCB6}">
    <filterColumn colId="0" hiddenButton="1"/>
    <filterColumn colId="1" hiddenButton="1"/>
    <filterColumn colId="2" hiddenButton="1"/>
    <filterColumn colId="3" hiddenButton="1"/>
  </autoFilter>
  <tableColumns count="4">
    <tableColumn id="1" xr3:uid="{332614A0-8E58-4396-BEED-986DBD79D289}" name="OPRA Name" dataDxfId="144"/>
    <tableColumn id="2" xr3:uid="{961973BB-F5F6-4BEC-AA57-980526F7DF8B}" name="Latitude/Longitude" dataDxfId="143"/>
    <tableColumn id="3" xr3:uid="{765D358C-B6F2-4551-B21E-DA09B6E8347C}" name="ACP/GRA" dataDxfId="142"/>
    <tableColumn id="4" xr3:uid="{5234A88E-FCDA-49AA-B391-841D7C26F526}" name="OSROs Rated for OPRA" dataDxfId="141"/>
  </tableColumns>
  <tableStyleInfo name="TableStyleLight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A419662-9C27-4FAF-901A-329E10DC9CEA}" name="ACP1NorthCoast" displayName="ACP1NorthCoast" ref="B7:H16" totalsRowShown="0" headerRowDxfId="140" dataDxfId="138" headerRowBorderDxfId="139" tableBorderDxfId="137" totalsRowBorderDxfId="136">
  <tableColumns count="7">
    <tableColumn id="1" xr3:uid="{B05888D0-A135-4F73-AA5D-D3041AE6B93A}" name="OSRO Name" dataDxfId="135"/>
    <tableColumn id="2" xr3:uid="{A59D1C9D-52C5-47FC-98D8-86A812FABF3B}" name="Expiration Date" dataDxfId="134">
      <calculatedColumnFormula>_xlfn.XLOOKUP(ACP1NorthCoast[[#This Row],[OSRO Name]],ACP1NorthCoast31[OSRO Name],ACP1NorthCoast31[Expiration Date],"ERROR")</calculatedColumnFormula>
    </tableColumn>
    <tableColumn id="3" xr3:uid="{4B3CCEBA-5E7C-4900-8F54-670D17564E88}" name="Environmental Sensitive Site Protection" dataDxfId="133">
      <calculatedColumnFormula>_xlfn.XLOOKUP(ACP1NorthCoast[[#This Row],[OSRO Name]],ACP1NorthCoast31[OSRO Name],ACP1NorthCoast31[Environmental Sensitive Site Protection],"ERROR")</calculatedColumnFormula>
    </tableColumn>
    <tableColumn id="4" xr3:uid="{F52B7607-BCE5-4A5C-B1CA-91EAB35351D9}" name="GRA 1_x000a_Del Norte County" dataDxfId="132">
      <calculatedColumnFormula>_xlfn.XLOOKUP(ACP1NorthCoast[[#This Row],[OSRO Name]],ACP1NorthCoast31[OSRO Name],ACP1NorthCoast31[GRA 1
Del Norte County],"ERROR")</calculatedColumnFormula>
    </tableColumn>
    <tableColumn id="5" xr3:uid="{52D2A4F3-906E-47A0-82DF-0C831713A263}" name="GRA 2_x000a_Humboldt County Coastal" dataDxfId="131">
      <calculatedColumnFormula>_xlfn.XLOOKUP(ACP1NorthCoast[[#This Row],[OSRO Name]],ACP1NorthCoast31[OSRO Name],ACP1NorthCoast31[GRA 2
Humboldt County Coastal],"ERROR")</calculatedColumnFormula>
    </tableColumn>
    <tableColumn id="6" xr3:uid="{0E5A2B96-EE34-4027-B7CC-1316A3C5E2BC}" name="GRA 3_x000a_Humbolt Bay" dataDxfId="130">
      <calculatedColumnFormula>_xlfn.XLOOKUP(ACP1NorthCoast[[#This Row],[OSRO Name]],ACP1NorthCoast31[OSRO Name],ACP1NorthCoast31[GRA 3
Humbolt Bay],"Error")</calculatedColumnFormula>
    </tableColumn>
    <tableColumn id="7" xr3:uid="{C8B54E6A-D422-4151-BD08-BDE27E998451}" name="GRA 4_x000a_Mendocino County" dataDxfId="129">
      <calculatedColumnFormula>_xlfn.XLOOKUP(ACP1NorthCoast[[#This Row],[OSRO Name]],ACP1NorthCoast31[OSRO Name],ACP1NorthCoast31[GRA 4
Mendocino County],"ERROR")</calculatedColumnFormula>
    </tableColumn>
  </tableColumns>
  <tableStyleInfo name="TableStyleLight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17.xml"/><Relationship Id="rId3" Type="http://schemas.openxmlformats.org/officeDocument/2006/relationships/table" Target="../tables/table12.xml"/><Relationship Id="rId7" Type="http://schemas.openxmlformats.org/officeDocument/2006/relationships/table" Target="../tables/table16.xml"/><Relationship Id="rId2" Type="http://schemas.openxmlformats.org/officeDocument/2006/relationships/table" Target="../tables/table11.xml"/><Relationship Id="rId1" Type="http://schemas.openxmlformats.org/officeDocument/2006/relationships/printerSettings" Target="../printerSettings/printerSettings4.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 Id="rId9" Type="http://schemas.openxmlformats.org/officeDocument/2006/relationships/table" Target="../tables/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C1E22-5DE0-46F8-BD3C-B4A4667863C8}">
  <sheetPr>
    <pageSetUpPr fitToPage="1"/>
  </sheetPr>
  <dimension ref="A1:H64"/>
  <sheetViews>
    <sheetView tabSelected="1" zoomScaleNormal="100" workbookViewId="0">
      <selection activeCell="B4" sqref="B4:G4"/>
    </sheetView>
  </sheetViews>
  <sheetFormatPr defaultColWidth="0" defaultRowHeight="14.5" zeroHeight="1" x14ac:dyDescent="0.35"/>
  <cols>
    <col min="1" max="1" width="3.54296875" customWidth="1"/>
    <col min="2" max="2" width="9.1796875" customWidth="1"/>
    <col min="3" max="3" width="17.54296875" customWidth="1"/>
    <col min="4" max="4" width="26.1796875" customWidth="1"/>
    <col min="5" max="5" width="23.54296875" customWidth="1"/>
    <col min="6" max="6" width="24.7265625" customWidth="1"/>
    <col min="7" max="7" width="93.81640625" customWidth="1"/>
    <col min="8" max="8" width="6.26953125" customWidth="1"/>
    <col min="9" max="16384" width="9.1796875" hidden="1"/>
  </cols>
  <sheetData>
    <row r="1" spans="1:8" x14ac:dyDescent="0.35">
      <c r="A1" s="13"/>
      <c r="B1" s="13"/>
      <c r="C1" s="13"/>
      <c r="D1" s="13"/>
      <c r="E1" s="13"/>
      <c r="F1" s="13"/>
      <c r="G1" s="13"/>
      <c r="H1" s="13"/>
    </row>
    <row r="2" spans="1:8" ht="18.5" x14ac:dyDescent="0.35">
      <c r="A2" s="13"/>
      <c r="B2" s="134" t="s">
        <v>0</v>
      </c>
      <c r="C2" s="134"/>
      <c r="D2" s="134"/>
      <c r="E2" s="134"/>
      <c r="F2" s="134"/>
      <c r="G2" s="134"/>
      <c r="H2" s="13"/>
    </row>
    <row r="3" spans="1:8" ht="15.5" x14ac:dyDescent="0.35">
      <c r="A3" s="13"/>
      <c r="B3" s="13"/>
      <c r="C3" s="13"/>
      <c r="D3" s="13"/>
      <c r="E3" s="13"/>
      <c r="F3" s="13"/>
      <c r="G3" s="59" t="str">
        <f>'Revisions Worksheet'!F5</f>
        <v>Last Revised: 6/04/2026</v>
      </c>
      <c r="H3" s="13"/>
    </row>
    <row r="4" spans="1:8" ht="273" customHeight="1" thickBot="1" x14ac:dyDescent="0.4">
      <c r="A4" s="13"/>
      <c r="B4" s="135" t="s">
        <v>1</v>
      </c>
      <c r="C4" s="136"/>
      <c r="D4" s="136"/>
      <c r="E4" s="136"/>
      <c r="F4" s="136"/>
      <c r="G4" s="137"/>
      <c r="H4" s="13"/>
    </row>
    <row r="5" spans="1:8" ht="16" customHeight="1" x14ac:dyDescent="0.35">
      <c r="A5" s="13"/>
      <c r="B5" s="13"/>
      <c r="C5" s="13"/>
      <c r="D5" s="13"/>
      <c r="E5" s="13"/>
      <c r="F5" s="13"/>
      <c r="G5" s="13"/>
      <c r="H5" s="13"/>
    </row>
    <row r="6" spans="1:8" ht="15" thickBot="1" x14ac:dyDescent="0.4">
      <c r="A6" s="13"/>
      <c r="B6" s="13"/>
      <c r="C6" s="13"/>
      <c r="D6" s="13"/>
      <c r="E6" s="13"/>
      <c r="F6" s="13"/>
      <c r="G6" s="13"/>
      <c r="H6" s="13"/>
    </row>
    <row r="7" spans="1:8" ht="19" thickBot="1" x14ac:dyDescent="0.4">
      <c r="A7" s="13"/>
      <c r="B7" s="13"/>
      <c r="C7" s="128" t="s">
        <v>2</v>
      </c>
      <c r="D7" s="129"/>
      <c r="E7" s="129"/>
      <c r="F7" s="130"/>
      <c r="G7" s="13"/>
      <c r="H7" s="13"/>
    </row>
    <row r="8" spans="1:8" ht="19" thickBot="1" x14ac:dyDescent="0.4">
      <c r="A8" s="13"/>
      <c r="B8" s="13"/>
      <c r="C8" s="17" t="s">
        <v>3</v>
      </c>
      <c r="D8" s="18" t="s">
        <v>4</v>
      </c>
      <c r="E8" s="18" t="s">
        <v>5</v>
      </c>
      <c r="F8" s="19" t="s">
        <v>6</v>
      </c>
      <c r="G8" s="13"/>
      <c r="H8" s="13"/>
    </row>
    <row r="9" spans="1:8" ht="16" thickBot="1" x14ac:dyDescent="0.4">
      <c r="A9" s="13"/>
      <c r="B9" s="13"/>
      <c r="C9" s="14">
        <v>0</v>
      </c>
      <c r="D9" s="10">
        <v>600</v>
      </c>
      <c r="E9" s="10" t="s">
        <v>7</v>
      </c>
      <c r="F9" s="15" t="s">
        <v>7</v>
      </c>
      <c r="G9" s="13"/>
      <c r="H9" s="13"/>
    </row>
    <row r="10" spans="1:8" ht="16" thickBot="1" x14ac:dyDescent="0.4">
      <c r="A10" s="13"/>
      <c r="B10" s="13"/>
      <c r="C10" s="14">
        <v>1</v>
      </c>
      <c r="D10" s="11">
        <v>1200</v>
      </c>
      <c r="E10" s="10" t="s">
        <v>7</v>
      </c>
      <c r="F10" s="15" t="s">
        <v>7</v>
      </c>
      <c r="G10" s="13"/>
      <c r="H10" s="13"/>
    </row>
    <row r="11" spans="1:8" ht="16" thickBot="1" x14ac:dyDescent="0.4">
      <c r="A11" s="13"/>
      <c r="B11" s="13"/>
      <c r="C11" s="14">
        <v>2</v>
      </c>
      <c r="D11" s="11">
        <v>2000</v>
      </c>
      <c r="E11" s="11">
        <v>3125</v>
      </c>
      <c r="F11" s="16" t="s">
        <v>7</v>
      </c>
      <c r="G11" s="13"/>
      <c r="H11" s="13"/>
    </row>
    <row r="12" spans="1:8" ht="16" thickBot="1" x14ac:dyDescent="0.4">
      <c r="A12" s="13"/>
      <c r="B12" s="13"/>
      <c r="C12" s="14">
        <v>4</v>
      </c>
      <c r="D12" s="10" t="s">
        <v>7</v>
      </c>
      <c r="E12" s="11">
        <v>13280</v>
      </c>
      <c r="F12" s="16">
        <v>520</v>
      </c>
      <c r="G12" s="13"/>
      <c r="H12" s="13"/>
    </row>
    <row r="13" spans="1:8" ht="16" thickBot="1" x14ac:dyDescent="0.4">
      <c r="A13" s="13"/>
      <c r="B13" s="13"/>
      <c r="C13" s="14">
        <v>6</v>
      </c>
      <c r="D13" s="11" t="s">
        <v>7</v>
      </c>
      <c r="E13" s="11">
        <v>23437</v>
      </c>
      <c r="F13" s="16">
        <v>12000</v>
      </c>
      <c r="G13" s="13"/>
      <c r="H13" s="13"/>
    </row>
    <row r="14" spans="1:8" ht="16" thickBot="1" x14ac:dyDescent="0.4">
      <c r="A14" s="13"/>
      <c r="B14" s="13"/>
      <c r="C14" s="14">
        <v>12</v>
      </c>
      <c r="D14" s="10" t="s">
        <v>7</v>
      </c>
      <c r="E14" s="11">
        <v>23437</v>
      </c>
      <c r="F14" s="16">
        <v>23437</v>
      </c>
      <c r="G14" s="13"/>
      <c r="H14" s="13"/>
    </row>
    <row r="15" spans="1:8" ht="16" thickBot="1" x14ac:dyDescent="0.4">
      <c r="A15" s="13"/>
      <c r="B15" s="13"/>
      <c r="C15" s="14">
        <v>18</v>
      </c>
      <c r="D15" s="10" t="s">
        <v>7</v>
      </c>
      <c r="E15" s="11">
        <v>27343</v>
      </c>
      <c r="F15" s="16">
        <v>27343</v>
      </c>
      <c r="G15" s="13"/>
      <c r="H15" s="13"/>
    </row>
    <row r="16" spans="1:8" ht="16" thickBot="1" x14ac:dyDescent="0.4">
      <c r="A16" s="13"/>
      <c r="B16" s="13"/>
      <c r="C16" s="14">
        <v>24</v>
      </c>
      <c r="D16" s="10" t="s">
        <v>7</v>
      </c>
      <c r="E16" s="11">
        <v>31250</v>
      </c>
      <c r="F16" s="16">
        <v>31250</v>
      </c>
      <c r="G16" s="13"/>
      <c r="H16" s="13"/>
    </row>
    <row r="17" spans="1:8" ht="16" thickBot="1" x14ac:dyDescent="0.4">
      <c r="A17" s="13"/>
      <c r="B17" s="13"/>
      <c r="C17" s="14">
        <v>36</v>
      </c>
      <c r="D17" s="10" t="s">
        <v>7</v>
      </c>
      <c r="E17" s="11">
        <v>46875</v>
      </c>
      <c r="F17" s="16">
        <v>46875</v>
      </c>
      <c r="G17" s="13"/>
      <c r="H17" s="13"/>
    </row>
    <row r="18" spans="1:8" ht="16" thickBot="1" x14ac:dyDescent="0.4">
      <c r="A18" s="13"/>
      <c r="B18" s="13"/>
      <c r="C18" s="20">
        <v>60</v>
      </c>
      <c r="D18" s="21" t="s">
        <v>7</v>
      </c>
      <c r="E18" s="22">
        <v>78125</v>
      </c>
      <c r="F18" s="23">
        <v>78125</v>
      </c>
      <c r="G18" s="13"/>
      <c r="H18" s="13"/>
    </row>
    <row r="19" spans="1:8" ht="15" hidden="1" thickBot="1" x14ac:dyDescent="0.4">
      <c r="A19" s="13"/>
      <c r="B19" s="13"/>
      <c r="C19" s="13"/>
      <c r="D19" s="13"/>
      <c r="E19" s="13"/>
      <c r="F19" s="13"/>
      <c r="G19" s="13"/>
      <c r="H19" s="13"/>
    </row>
    <row r="20" spans="1:8" ht="16" thickBot="1" x14ac:dyDescent="0.4">
      <c r="A20" s="13"/>
      <c r="B20" s="13"/>
      <c r="C20" s="131" t="s">
        <v>8</v>
      </c>
      <c r="D20" s="132"/>
      <c r="E20" s="132"/>
      <c r="F20" s="133"/>
      <c r="G20" s="13"/>
      <c r="H20" s="13"/>
    </row>
    <row r="21" spans="1:8" ht="23.15" customHeight="1" x14ac:dyDescent="0.35">
      <c r="A21" s="13"/>
      <c r="B21" s="13"/>
      <c r="C21" s="13"/>
      <c r="D21" s="13"/>
      <c r="E21" s="13"/>
      <c r="F21" s="13"/>
      <c r="G21" s="13"/>
      <c r="H21" s="13"/>
    </row>
    <row r="22" spans="1:8" x14ac:dyDescent="0.35">
      <c r="A22" s="13"/>
      <c r="B22" s="13"/>
      <c r="C22" s="13"/>
      <c r="D22" s="13"/>
      <c r="E22" s="13"/>
      <c r="F22" s="13"/>
      <c r="G22" s="13"/>
      <c r="H22" s="13"/>
    </row>
    <row r="33" customFormat="1" hidden="1" x14ac:dyDescent="0.35"/>
    <row r="34" customFormat="1" hidden="1" x14ac:dyDescent="0.35"/>
    <row r="35" customFormat="1" hidden="1" x14ac:dyDescent="0.35"/>
    <row r="36" customFormat="1" hidden="1" x14ac:dyDescent="0.35"/>
    <row r="37" customFormat="1" hidden="1" x14ac:dyDescent="0.35"/>
    <row r="38" customFormat="1" hidden="1" x14ac:dyDescent="0.35"/>
    <row r="39" customFormat="1" hidden="1" x14ac:dyDescent="0.35"/>
    <row r="40" customFormat="1" hidden="1" x14ac:dyDescent="0.35"/>
    <row r="41" customFormat="1" hidden="1" x14ac:dyDescent="0.35"/>
    <row r="42" customFormat="1" hidden="1" x14ac:dyDescent="0.35"/>
    <row r="43" customFormat="1" hidden="1" x14ac:dyDescent="0.35"/>
    <row r="44" customFormat="1" hidden="1" x14ac:dyDescent="0.35"/>
    <row r="45" customFormat="1" hidden="1" x14ac:dyDescent="0.35"/>
    <row r="46" customFormat="1" hidden="1" x14ac:dyDescent="0.35"/>
    <row r="47" customFormat="1" hidden="1" x14ac:dyDescent="0.35"/>
    <row r="48" customFormat="1" hidden="1" x14ac:dyDescent="0.35"/>
    <row r="49" customFormat="1" hidden="1" x14ac:dyDescent="0.35"/>
    <row r="50" customFormat="1" hidden="1" x14ac:dyDescent="0.35"/>
    <row r="51" customFormat="1" hidden="1" x14ac:dyDescent="0.35"/>
    <row r="52" customFormat="1" hidden="1" x14ac:dyDescent="0.35"/>
    <row r="53" customFormat="1" hidden="1" x14ac:dyDescent="0.35"/>
    <row r="54" customFormat="1" hidden="1" x14ac:dyDescent="0.35"/>
    <row r="55" customFormat="1" hidden="1" x14ac:dyDescent="0.35"/>
    <row r="56" customFormat="1" hidden="1" x14ac:dyDescent="0.35"/>
    <row r="57" customFormat="1" hidden="1" x14ac:dyDescent="0.35"/>
    <row r="58" customFormat="1" hidden="1" x14ac:dyDescent="0.35"/>
    <row r="59" customFormat="1" hidden="1" x14ac:dyDescent="0.35"/>
    <row r="60" customFormat="1" hidden="1" x14ac:dyDescent="0.35"/>
    <row r="61" customFormat="1" hidden="1" x14ac:dyDescent="0.35"/>
    <row r="62" customFormat="1" hidden="1" x14ac:dyDescent="0.35"/>
    <row r="63" customFormat="1" hidden="1" x14ac:dyDescent="0.35"/>
    <row r="64" customFormat="1" hidden="1" x14ac:dyDescent="0.35"/>
  </sheetData>
  <mergeCells count="4">
    <mergeCell ref="C7:F7"/>
    <mergeCell ref="C20:F20"/>
    <mergeCell ref="B2:G2"/>
    <mergeCell ref="B4:G4"/>
  </mergeCells>
  <pageMargins left="0.25" right="0.25" top="0.75" bottom="0.75" header="0.3" footer="0.3"/>
  <pageSetup scale="65"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333ED-2C73-4BCC-AAC4-6A0FA1F52D72}">
  <dimension ref="A1:J119"/>
  <sheetViews>
    <sheetView zoomScale="85" zoomScaleNormal="85" workbookViewId="0">
      <selection activeCell="C74" sqref="C74"/>
    </sheetView>
  </sheetViews>
  <sheetFormatPr defaultColWidth="0" defaultRowHeight="14.5" zeroHeight="1" x14ac:dyDescent="0.35"/>
  <cols>
    <col min="1" max="1" width="5.26953125" customWidth="1"/>
    <col min="2" max="2" width="42.81640625" customWidth="1"/>
    <col min="3" max="3" width="21.453125" bestFit="1" customWidth="1"/>
    <col min="4" max="4" width="25.1796875" customWidth="1"/>
    <col min="5" max="5" width="21.26953125" customWidth="1"/>
    <col min="6" max="6" width="23.453125" customWidth="1"/>
    <col min="7" max="7" width="21.26953125" customWidth="1"/>
    <col min="8" max="8" width="22.1796875" customWidth="1"/>
    <col min="9" max="9" width="21.26953125" customWidth="1"/>
    <col min="10" max="10" width="5.81640625" customWidth="1"/>
    <col min="11" max="16384" width="9.1796875" hidden="1"/>
  </cols>
  <sheetData>
    <row r="1" spans="1:10" x14ac:dyDescent="0.35">
      <c r="A1" s="45"/>
      <c r="B1" s="45"/>
      <c r="C1" s="45"/>
      <c r="D1" s="45"/>
      <c r="E1" s="45"/>
      <c r="F1" s="45"/>
      <c r="G1" s="45"/>
      <c r="H1" s="45"/>
      <c r="I1" s="45"/>
      <c r="J1" s="45"/>
    </row>
    <row r="2" spans="1:10" x14ac:dyDescent="0.35">
      <c r="A2" s="45"/>
      <c r="B2" s="45"/>
      <c r="C2" s="45"/>
      <c r="D2" s="45"/>
      <c r="E2" s="45"/>
      <c r="F2" s="45"/>
      <c r="G2" s="45"/>
      <c r="H2" s="45"/>
      <c r="I2" s="45"/>
      <c r="J2" s="45"/>
    </row>
    <row r="3" spans="1:10" ht="21" x14ac:dyDescent="0.5">
      <c r="A3" s="45"/>
      <c r="B3" s="108" t="s">
        <v>9</v>
      </c>
      <c r="C3" s="108"/>
      <c r="D3" s="108"/>
      <c r="E3" s="108"/>
      <c r="F3" s="108"/>
      <c r="G3" s="108"/>
      <c r="H3" s="108"/>
      <c r="I3" s="45"/>
      <c r="J3" s="45"/>
    </row>
    <row r="4" spans="1:10" ht="15.5" x14ac:dyDescent="0.35">
      <c r="A4" s="45"/>
      <c r="B4" s="114" t="s">
        <v>10</v>
      </c>
      <c r="C4" s="114"/>
      <c r="D4" s="114"/>
      <c r="E4" s="114"/>
      <c r="F4" s="114"/>
      <c r="G4" s="114"/>
      <c r="H4" s="114"/>
      <c r="I4" s="45"/>
      <c r="J4" s="45"/>
    </row>
    <row r="5" spans="1:10" ht="15.5" x14ac:dyDescent="0.35">
      <c r="A5" s="45"/>
      <c r="B5" s="45"/>
      <c r="C5" s="45"/>
      <c r="D5" s="45"/>
      <c r="E5" s="45"/>
      <c r="F5" s="58" t="str">
        <f>'Revisions Worksheet'!F5</f>
        <v>Last Revised: 6/04/2026</v>
      </c>
      <c r="G5" s="45"/>
      <c r="H5" s="45"/>
      <c r="I5" s="45"/>
      <c r="J5" s="45"/>
    </row>
    <row r="6" spans="1:10" ht="18.5" x14ac:dyDescent="0.45">
      <c r="A6" s="45"/>
      <c r="B6" s="124" t="s">
        <v>11</v>
      </c>
      <c r="C6" s="125"/>
      <c r="D6" s="125"/>
      <c r="E6" s="125"/>
      <c r="F6" s="125"/>
      <c r="G6" s="125"/>
      <c r="H6" s="126"/>
      <c r="I6" s="45"/>
      <c r="J6" s="55"/>
    </row>
    <row r="7" spans="1:10" ht="46.5" x14ac:dyDescent="0.35">
      <c r="A7" s="45"/>
      <c r="B7" s="24" t="s">
        <v>12</v>
      </c>
      <c r="C7" s="24" t="s">
        <v>13</v>
      </c>
      <c r="D7" s="25" t="s">
        <v>14</v>
      </c>
      <c r="E7" s="25" t="s">
        <v>15</v>
      </c>
      <c r="F7" s="25" t="s">
        <v>16</v>
      </c>
      <c r="G7" s="25" t="s">
        <v>17</v>
      </c>
      <c r="H7" s="25" t="s">
        <v>18</v>
      </c>
      <c r="I7" s="45"/>
      <c r="J7" s="55"/>
    </row>
    <row r="8" spans="1:10" ht="15.5" hidden="1" x14ac:dyDescent="0.35">
      <c r="A8" s="45"/>
      <c r="B8" s="26" t="s">
        <v>19</v>
      </c>
      <c r="C8" s="1">
        <f>_xlfn.XLOOKUP(ACP1NorthCoast[[#This Row],[OSRO Name]],ACP1NorthCoast31[OSRO Name],ACP1NorthCoast31[Expiration Date],"ERROR")</f>
        <v>46451</v>
      </c>
      <c r="D8" s="4" t="str">
        <f>_xlfn.XLOOKUP(ACP1NorthCoast[[#This Row],[OSRO Name]],ACP1NorthCoast31[OSRO Name],ACP1NorthCoast31[Environmental Sensitive Site Protection],"ERROR")</f>
        <v>--</v>
      </c>
      <c r="E8" s="4" t="str">
        <f>_xlfn.XLOOKUP(ACP1NorthCoast[[#This Row],[OSRO Name]],ACP1NorthCoast31[OSRO Name],ACP1NorthCoast31[GRA 1
Del Norte County],"ERROR")</f>
        <v>--</v>
      </c>
      <c r="F8" s="4" t="str">
        <f>_xlfn.XLOOKUP(ACP1NorthCoast[[#This Row],[OSRO Name]],ACP1NorthCoast31[OSRO Name],ACP1NorthCoast31[GRA 2
Humboldt County Coastal],"ERROR")</f>
        <v>--</v>
      </c>
      <c r="G8" s="4" t="str">
        <f>_xlfn.XLOOKUP(ACP1NorthCoast[[#This Row],[OSRO Name]],ACP1NorthCoast31[OSRO Name],ACP1NorthCoast31[GRA 3
Humbolt Bay],"Error")</f>
        <v>--</v>
      </c>
      <c r="H8" s="4" t="str">
        <f>_xlfn.XLOOKUP(ACP1NorthCoast[[#This Row],[OSRO Name]],ACP1NorthCoast31[OSRO Name],ACP1NorthCoast31[GRA 4
Mendocino County],"ERROR")</f>
        <v>--</v>
      </c>
      <c r="I8" s="45"/>
      <c r="J8" s="55"/>
    </row>
    <row r="9" spans="1:10" ht="15.5" hidden="1" x14ac:dyDescent="0.35">
      <c r="A9" s="45"/>
      <c r="B9" s="26" t="s">
        <v>20</v>
      </c>
      <c r="C9" s="1">
        <f>_xlfn.XLOOKUP(ACP1NorthCoast[[#This Row],[OSRO Name]],ACP1NorthCoast31[OSRO Name],ACP1NorthCoast31[Expiration Date],"ERROR")</f>
        <v>46256</v>
      </c>
      <c r="D9" s="4" t="str">
        <f>_xlfn.XLOOKUP(ACP1NorthCoast[[#This Row],[OSRO Name]],ACP1NorthCoast31[OSRO Name],ACP1NorthCoast31[Environmental Sensitive Site Protection],"ERROR")</f>
        <v>--</v>
      </c>
      <c r="E9" s="4" t="str">
        <f>_xlfn.XLOOKUP(ACP1NorthCoast[[#This Row],[OSRO Name]],ACP1NorthCoast31[OSRO Name],ACP1NorthCoast31[GRA 1
Del Norte County],"ERROR")</f>
        <v>--</v>
      </c>
      <c r="F9" s="4" t="str">
        <f>_xlfn.XLOOKUP(ACP1NorthCoast[[#This Row],[OSRO Name]],ACP1NorthCoast31[OSRO Name],ACP1NorthCoast31[GRA 2
Humboldt County Coastal],"ERROR")</f>
        <v>--</v>
      </c>
      <c r="G9" s="4" t="str">
        <f>_xlfn.XLOOKUP(ACP1NorthCoast[[#This Row],[OSRO Name]],ACP1NorthCoast31[OSRO Name],ACP1NorthCoast31[GRA 3
Humbolt Bay],"Error")</f>
        <v>--</v>
      </c>
      <c r="H9" s="4" t="str">
        <f>_xlfn.XLOOKUP(ACP1NorthCoast[[#This Row],[OSRO Name]],ACP1NorthCoast31[OSRO Name],ACP1NorthCoast31[GRA 4
Mendocino County],"ERROR")</f>
        <v>--</v>
      </c>
      <c r="I9" s="45"/>
      <c r="J9" s="55"/>
    </row>
    <row r="10" spans="1:10" ht="15.5" x14ac:dyDescent="0.35">
      <c r="A10" s="45"/>
      <c r="B10" s="26" t="s">
        <v>21</v>
      </c>
      <c r="C10" s="1">
        <f>_xlfn.XLOOKUP(ACP1NorthCoast[[#This Row],[OSRO Name]],ACP1NorthCoast31[OSRO Name],ACP1NorthCoast31[Expiration Date],"ERROR")</f>
        <v>46550</v>
      </c>
      <c r="D10" s="4" t="str">
        <f>_xlfn.XLOOKUP(ACP1NorthCoast[[#This Row],[OSRO Name]],ACP1NorthCoast31[OSRO Name],ACP1NorthCoast31[Environmental Sensitive Site Protection],"ERROR")</f>
        <v>GRA - 1 through 4</v>
      </c>
      <c r="E10" s="4" t="str">
        <f>_xlfn.XLOOKUP(ACP1NorthCoast[[#This Row],[OSRO Name]],ACP1NorthCoast31[OSRO Name],ACP1NorthCoast31[GRA 1
Del Norte County],"ERROR")</f>
        <v xml:space="preserve">0*, 1*, &amp; 2+ Hr. </v>
      </c>
      <c r="F10" s="4" t="str">
        <f>_xlfn.XLOOKUP(ACP1NorthCoast[[#This Row],[OSRO Name]],ACP1NorthCoast31[OSRO Name],ACP1NorthCoast31[GRA 2
Humboldt County Coastal],"ERROR")</f>
        <v xml:space="preserve">0*, 1*, &amp; 2+ Hr. </v>
      </c>
      <c r="G10" s="4" t="str">
        <f>_xlfn.XLOOKUP(ACP1NorthCoast[[#This Row],[OSRO Name]],ACP1NorthCoast31[OSRO Name],ACP1NorthCoast31[GRA 3
Humbolt Bay],"Error")</f>
        <v>0*, 1*, &amp; 2+ Hr.</v>
      </c>
      <c r="H10" s="4" t="str">
        <f>_xlfn.XLOOKUP(ACP1NorthCoast[[#This Row],[OSRO Name]],ACP1NorthCoast31[OSRO Name],ACP1NorthCoast31[GRA 4
Mendocino County],"ERROR")</f>
        <v>0*, 1*, &amp; 2+ Hr.</v>
      </c>
      <c r="I10" s="45"/>
      <c r="J10" s="55"/>
    </row>
    <row r="11" spans="1:10" ht="15.5" x14ac:dyDescent="0.35">
      <c r="A11" s="45"/>
      <c r="B11" s="26" t="s">
        <v>22</v>
      </c>
      <c r="C11" s="1">
        <f>_xlfn.XLOOKUP(ACP1NorthCoast[[#This Row],[OSRO Name]],ACP1NorthCoast31[OSRO Name],ACP1NorthCoast31[Expiration Date],"ERROR")</f>
        <v>47273</v>
      </c>
      <c r="D11" s="4" t="str">
        <f>_xlfn.XLOOKUP(ACP1NorthCoast[[#This Row],[OSRO Name]],ACP1NorthCoast31[OSRO Name],ACP1NorthCoast31[Environmental Sensitive Site Protection],"ERROR")</f>
        <v>GRA - 1 through 4</v>
      </c>
      <c r="E11" s="4" t="str">
        <f>_xlfn.XLOOKUP(ACP1NorthCoast[[#This Row],[OSRO Name]],ACP1NorthCoast31[OSRO Name],ACP1NorthCoast31[GRA 1
Del Norte County],"ERROR")</f>
        <v xml:space="preserve">0*, 1*, 2, 6 &amp; 24+ Hr. </v>
      </c>
      <c r="F11" s="4" t="str">
        <f>_xlfn.XLOOKUP(ACP1NorthCoast[[#This Row],[OSRO Name]],ACP1NorthCoast31[OSRO Name],ACP1NorthCoast31[GRA 2
Humboldt County Coastal],"ERROR")</f>
        <v xml:space="preserve">0*, 1*, 2, 6 &amp; 24+ Hr. </v>
      </c>
      <c r="G11" s="4" t="str">
        <f>_xlfn.XLOOKUP(ACP1NorthCoast[[#This Row],[OSRO Name]],ACP1NorthCoast31[OSRO Name],ACP1NorthCoast31[GRA 3
Humbolt Bay],"Error")</f>
        <v xml:space="preserve">0*, 1*, 2, 6 &amp; 24+ Hr. </v>
      </c>
      <c r="H11" s="4" t="str">
        <f>_xlfn.XLOOKUP(ACP1NorthCoast[[#This Row],[OSRO Name]],ACP1NorthCoast31[OSRO Name],ACP1NorthCoast31[GRA 4
Mendocino County],"ERROR")</f>
        <v xml:space="preserve">0*, 1*, 2, 6 &amp; 24+ Hr. </v>
      </c>
      <c r="I11" s="45"/>
      <c r="J11" s="55"/>
    </row>
    <row r="12" spans="1:10" ht="15.5" hidden="1" x14ac:dyDescent="0.35">
      <c r="A12" s="45"/>
      <c r="B12" s="26" t="s">
        <v>23</v>
      </c>
      <c r="C12" s="1">
        <f>_xlfn.XLOOKUP(ACP1NorthCoast[[#This Row],[OSRO Name]],ACP1NorthCoast31[OSRO Name],ACP1NorthCoast31[Expiration Date],"ERROR")</f>
        <v>45338</v>
      </c>
      <c r="D12" s="4" t="str">
        <f>_xlfn.XLOOKUP(ACP1NorthCoast[[#This Row],[OSRO Name]],ACP1NorthCoast31[OSRO Name],ACP1NorthCoast31[Environmental Sensitive Site Protection],"ERROR")</f>
        <v>--</v>
      </c>
      <c r="E12" s="4" t="str">
        <f>_xlfn.XLOOKUP(ACP1NorthCoast[[#This Row],[OSRO Name]],ACP1NorthCoast31[OSRO Name],ACP1NorthCoast31[GRA 1
Del Norte County],"ERROR")</f>
        <v>--</v>
      </c>
      <c r="F12" s="4" t="str">
        <f>_xlfn.XLOOKUP(ACP1NorthCoast[[#This Row],[OSRO Name]],ACP1NorthCoast31[OSRO Name],ACP1NorthCoast31[GRA 2
Humboldt County Coastal],"ERROR")</f>
        <v>--</v>
      </c>
      <c r="G12" s="4" t="str">
        <f>_xlfn.XLOOKUP(ACP1NorthCoast[[#This Row],[OSRO Name]],ACP1NorthCoast31[OSRO Name],ACP1NorthCoast31[GRA 3
Humbolt Bay],"Error")</f>
        <v>--</v>
      </c>
      <c r="H12" s="4" t="str">
        <f>_xlfn.XLOOKUP(ACP1NorthCoast[[#This Row],[OSRO Name]],ACP1NorthCoast31[OSRO Name],ACP1NorthCoast31[GRA 4
Mendocino County],"ERROR")</f>
        <v>--</v>
      </c>
      <c r="I12" s="45"/>
    </row>
    <row r="13" spans="1:10" ht="15.5" hidden="1" x14ac:dyDescent="0.35">
      <c r="A13" s="45"/>
      <c r="B13" s="26" t="s">
        <v>24</v>
      </c>
      <c r="C13" s="1">
        <f>_xlfn.XLOOKUP(ACP1NorthCoast[[#This Row],[OSRO Name]],ACP1NorthCoast31[OSRO Name],ACP1NorthCoast31[Expiration Date],"ERROR")</f>
        <v>46286</v>
      </c>
      <c r="D13" s="4" t="str">
        <f>_xlfn.XLOOKUP(ACP1NorthCoast[[#This Row],[OSRO Name]],ACP1NorthCoast31[OSRO Name],ACP1NorthCoast31[Environmental Sensitive Site Protection],"ERROR")</f>
        <v>--</v>
      </c>
      <c r="E13" s="4" t="str">
        <f>_xlfn.XLOOKUP(ACP1NorthCoast[[#This Row],[OSRO Name]],ACP1NorthCoast31[OSRO Name],ACP1NorthCoast31[GRA 1
Del Norte County],"ERROR")</f>
        <v>--</v>
      </c>
      <c r="F13" s="4" t="str">
        <f>_xlfn.XLOOKUP(ACP1NorthCoast[[#This Row],[OSRO Name]],ACP1NorthCoast31[OSRO Name],ACP1NorthCoast31[GRA 2
Humboldt County Coastal],"ERROR")</f>
        <v>--</v>
      </c>
      <c r="G13" s="4" t="str">
        <f>_xlfn.XLOOKUP(ACP1NorthCoast[[#This Row],[OSRO Name]],ACP1NorthCoast31[OSRO Name],ACP1NorthCoast31[GRA 3
Humbolt Bay],"Error")</f>
        <v>--</v>
      </c>
      <c r="H13" s="4" t="str">
        <f>_xlfn.XLOOKUP(ACP1NorthCoast[[#This Row],[OSRO Name]],ACP1NorthCoast31[OSRO Name],ACP1NorthCoast31[GRA 4
Mendocino County],"ERROR")</f>
        <v>--</v>
      </c>
      <c r="I13" s="45"/>
    </row>
    <row r="14" spans="1:10" ht="15.5" hidden="1" x14ac:dyDescent="0.35">
      <c r="A14" s="45"/>
      <c r="B14" s="26" t="s">
        <v>25</v>
      </c>
      <c r="C14" s="1">
        <f>_xlfn.XLOOKUP(ACP1NorthCoast[[#This Row],[OSRO Name]],ACP1NorthCoast31[OSRO Name],ACP1NorthCoast31[Expiration Date],"ERROR")</f>
        <v>46550</v>
      </c>
      <c r="D14" s="4" t="str">
        <f>_xlfn.XLOOKUP(ACP1NorthCoast[[#This Row],[OSRO Name]],ACP1NorthCoast31[OSRO Name],ACP1NorthCoast31[Environmental Sensitive Site Protection],"ERROR")</f>
        <v>--</v>
      </c>
      <c r="E14" s="4" t="str">
        <f>_xlfn.XLOOKUP(ACP1NorthCoast[[#This Row],[OSRO Name]],ACP1NorthCoast31[OSRO Name],ACP1NorthCoast31[GRA 1
Del Norte County],"ERROR")</f>
        <v>--</v>
      </c>
      <c r="F14" s="4" t="str">
        <f>_xlfn.XLOOKUP(ACP1NorthCoast[[#This Row],[OSRO Name]],ACP1NorthCoast31[OSRO Name],ACP1NorthCoast31[GRA 2
Humboldt County Coastal],"ERROR")</f>
        <v>--</v>
      </c>
      <c r="G14" s="4" t="str">
        <f>_xlfn.XLOOKUP(ACP1NorthCoast[[#This Row],[OSRO Name]],ACP1NorthCoast31[OSRO Name],ACP1NorthCoast31[GRA 3
Humbolt Bay],"Error")</f>
        <v>--</v>
      </c>
      <c r="H14" s="4" t="str">
        <f>_xlfn.XLOOKUP(ACP1NorthCoast[[#This Row],[OSRO Name]],ACP1NorthCoast31[OSRO Name],ACP1NorthCoast31[GRA 4
Mendocino County],"ERROR")</f>
        <v>--</v>
      </c>
      <c r="I14" s="45"/>
    </row>
    <row r="15" spans="1:10" ht="15.5" hidden="1" x14ac:dyDescent="0.35">
      <c r="A15" s="45"/>
      <c r="B15" s="26" t="s">
        <v>26</v>
      </c>
      <c r="C15" s="1" t="str">
        <f>_xlfn.XLOOKUP(ACP1NorthCoast[[#This Row],[OSRO Name]],ACP1NorthCoast31[OSRO Name],ACP1NorthCoast31[Expiration Date],"ERROR")</f>
        <v>Expired</v>
      </c>
      <c r="D15" s="4" t="str">
        <f>_xlfn.XLOOKUP(ACP1NorthCoast[[#This Row],[OSRO Name]],ACP1NorthCoast31[OSRO Name],ACP1NorthCoast31[Environmental Sensitive Site Protection],"ERROR")</f>
        <v>--</v>
      </c>
      <c r="E15" s="4" t="str">
        <f>_xlfn.XLOOKUP(ACP1NorthCoast[[#This Row],[OSRO Name]],ACP1NorthCoast31[OSRO Name],ACP1NorthCoast31[GRA 1
Del Norte County],"ERROR")</f>
        <v>--</v>
      </c>
      <c r="F15" s="4" t="str">
        <f>_xlfn.XLOOKUP(ACP1NorthCoast[[#This Row],[OSRO Name]],ACP1NorthCoast31[OSRO Name],ACP1NorthCoast31[GRA 2
Humboldt County Coastal],"ERROR")</f>
        <v>--</v>
      </c>
      <c r="G15" s="4" t="str">
        <f>_xlfn.XLOOKUP(ACP1NorthCoast[[#This Row],[OSRO Name]],ACP1NorthCoast31[OSRO Name],ACP1NorthCoast31[GRA 3
Humbolt Bay],"Error")</f>
        <v>--</v>
      </c>
      <c r="H15" s="4" t="str">
        <f>_xlfn.XLOOKUP(ACP1NorthCoast[[#This Row],[OSRO Name]],ACP1NorthCoast31[OSRO Name],ACP1NorthCoast31[GRA 4
Mendocino County],"ERROR")</f>
        <v>--</v>
      </c>
      <c r="I15" s="45"/>
    </row>
    <row r="16" spans="1:10" ht="15.5" hidden="1" x14ac:dyDescent="0.35">
      <c r="A16" s="45"/>
      <c r="B16" s="26" t="s">
        <v>27</v>
      </c>
      <c r="C16" s="1">
        <f>_xlfn.XLOOKUP(ACP1NorthCoast[[#This Row],[OSRO Name]],ACP1NorthCoast31[OSRO Name],ACP1NorthCoast31[Expiration Date],"ERROR")</f>
        <v>46557</v>
      </c>
      <c r="D16" s="4" t="str">
        <f>_xlfn.XLOOKUP(ACP1NorthCoast[[#This Row],[OSRO Name]],ACP1NorthCoast31[OSRO Name],ACP1NorthCoast31[Environmental Sensitive Site Protection],"ERROR")</f>
        <v>--</v>
      </c>
      <c r="E16" s="4" t="str">
        <f>_xlfn.XLOOKUP(ACP1NorthCoast[[#This Row],[OSRO Name]],ACP1NorthCoast31[OSRO Name],ACP1NorthCoast31[GRA 1
Del Norte County],"ERROR")</f>
        <v>--</v>
      </c>
      <c r="F16" s="4" t="str">
        <f>_xlfn.XLOOKUP(ACP1NorthCoast[[#This Row],[OSRO Name]],ACP1NorthCoast31[OSRO Name],ACP1NorthCoast31[GRA 2
Humboldt County Coastal],"ERROR")</f>
        <v>--</v>
      </c>
      <c r="G16" s="4" t="str">
        <f>_xlfn.XLOOKUP(ACP1NorthCoast[[#This Row],[OSRO Name]],ACP1NorthCoast31[OSRO Name],ACP1NorthCoast31[GRA 3
Humbolt Bay],"Error")</f>
        <v>--</v>
      </c>
      <c r="H16" s="4" t="str">
        <f>_xlfn.XLOOKUP(ACP1NorthCoast[[#This Row],[OSRO Name]],ACP1NorthCoast31[OSRO Name],ACP1NorthCoast31[GRA 4
Mendocino County],"ERROR")</f>
        <v>--</v>
      </c>
      <c r="I16" s="45"/>
    </row>
    <row r="17" spans="1:10" ht="15.5" x14ac:dyDescent="0.35">
      <c r="A17" s="45"/>
      <c r="B17" s="46"/>
      <c r="C17" s="49"/>
      <c r="D17" s="50"/>
      <c r="E17" s="50"/>
      <c r="F17" s="50"/>
      <c r="G17" s="50"/>
      <c r="H17" s="50"/>
      <c r="I17" s="45"/>
      <c r="J17" s="45"/>
    </row>
    <row r="18" spans="1:10" x14ac:dyDescent="0.35">
      <c r="A18" s="45"/>
      <c r="B18" s="45"/>
      <c r="C18" s="45"/>
      <c r="D18" s="45"/>
      <c r="E18" s="45"/>
      <c r="F18" s="45"/>
      <c r="G18" s="45"/>
      <c r="H18" s="45"/>
      <c r="I18" s="45"/>
      <c r="J18" s="45"/>
    </row>
    <row r="19" spans="1:10" ht="18.5" x14ac:dyDescent="0.35">
      <c r="A19" s="45"/>
      <c r="B19" s="109" t="s">
        <v>28</v>
      </c>
      <c r="C19" s="109"/>
      <c r="D19" s="109"/>
      <c r="E19" s="109"/>
      <c r="F19" s="109"/>
      <c r="G19" s="109"/>
      <c r="H19" s="109"/>
      <c r="I19" s="109"/>
      <c r="J19" s="45"/>
    </row>
    <row r="20" spans="1:10" ht="46.5" x14ac:dyDescent="0.35">
      <c r="A20" s="45"/>
      <c r="B20" s="29" t="s">
        <v>12</v>
      </c>
      <c r="C20" s="28" t="s">
        <v>13</v>
      </c>
      <c r="D20" s="28" t="s">
        <v>14</v>
      </c>
      <c r="E20" s="28" t="s">
        <v>29</v>
      </c>
      <c r="F20" s="28" t="s">
        <v>30</v>
      </c>
      <c r="G20" s="28" t="s">
        <v>31</v>
      </c>
      <c r="H20" s="28" t="s">
        <v>32</v>
      </c>
      <c r="I20" s="28" t="s">
        <v>33</v>
      </c>
      <c r="J20" s="45"/>
    </row>
    <row r="21" spans="1:10" ht="15.5" x14ac:dyDescent="0.35">
      <c r="A21" s="45"/>
      <c r="B21" s="27" t="s">
        <v>19</v>
      </c>
      <c r="C21" s="5">
        <f>_xlfn.XLOOKUP(ACP2SanFranciscoBayandDeltaPart1[[#This Row],[OSRO Name]],ACP2SanFranciscoBayandDeltaPart124[OSRO Name],ACP2SanFranciscoBayandDeltaPart124[Expiration Date],"ERROR")</f>
        <v>46451</v>
      </c>
      <c r="D21" s="12" t="str">
        <f>_xlfn.XLOOKUP(ACP2SanFranciscoBayandDeltaPart1[[#This Row],[OSRO Name]],ACP2SanFranciscoBayandDeltaPart124[OSRO Name],ACP2SanFranciscoBayandDeltaPart124[Environmental Sensitive Site Protection],"ERROR")</f>
        <v>--</v>
      </c>
      <c r="E21" s="12" t="str">
        <f>_xlfn.XLOOKUP(ACP2SanFranciscoBayandDeltaPart1[[#This Row],[OSRO Name]],ACP2SanFranciscoBayandDeltaPart124[OSRO Name],ACP2SanFranciscoBayandDeltaPart124[GRA 1
Sonoma &amp; Marin Counties Coastal ],"ERROR")</f>
        <v>--</v>
      </c>
      <c r="F21" s="12" t="str">
        <f>_xlfn.XLOOKUP(ACP2SanFranciscoBayandDeltaPart1[[#This Row],[OSRO Name]],ACP2SanFranciscoBayandDeltaPart124[OSRO Name],ACP2SanFranciscoBayandDeltaPart124[GRA 2
Marin, SF &amp; San Mateo Counties Coastal],"ERROR")</f>
        <v>--</v>
      </c>
      <c r="G21" s="4" t="str">
        <f>_xlfn.XLOOKUP(ACP2SanFranciscoBayandDeltaPart1[[#This Row],[OSRO Name]],ACP2SanFranciscoBayandDeltaPart124[OSRO Name],ACP2SanFranciscoBayandDeltaPart124[GRA 3
South SF Bay],"ERROR")</f>
        <v>24 Hr. Modified</v>
      </c>
      <c r="H21" s="4" t="str">
        <f>_xlfn.XLOOKUP(ACP2SanFranciscoBayandDeltaPart1[[#This Row],[OSRO Name]],ACP2SanFranciscoBayandDeltaPart124[OSRO Name],ACP2SanFranciscoBayandDeltaPart124[GRA 4
Central SF Bay],"ERROR")</f>
        <v>24 Hr. Modified</v>
      </c>
      <c r="I21" s="4" t="str">
        <f>_xlfn.XLOOKUP(ACP2SanFranciscoBayandDeltaPart1[[#This Row],[OSRO Name]],ACP2SanFranciscoBayandDeltaPart124[OSRO Name],ACP2SanFranciscoBayandDeltaPart124[GRA 5
San Pablo Bay],"ERROR")</f>
        <v>24 Hr. Modified</v>
      </c>
      <c r="J21" s="45"/>
    </row>
    <row r="22" spans="1:10" ht="15.5" x14ac:dyDescent="0.35">
      <c r="A22" s="45"/>
      <c r="B22" s="27" t="s">
        <v>20</v>
      </c>
      <c r="C22" s="5">
        <f>_xlfn.XLOOKUP(ACP2SanFranciscoBayandDeltaPart1[[#This Row],[OSRO Name]],ACP2SanFranciscoBayandDeltaPart124[OSRO Name],ACP2SanFranciscoBayandDeltaPart124[Expiration Date],"ERROR")</f>
        <v>46256</v>
      </c>
      <c r="D22" s="12" t="str">
        <f>_xlfn.XLOOKUP(ACP2SanFranciscoBayandDeltaPart1[[#This Row],[OSRO Name]],ACP2SanFranciscoBayandDeltaPart124[OSRO Name],ACP2SanFranciscoBayandDeltaPart124[Environmental Sensitive Site Protection],"ERROR")</f>
        <v>--</v>
      </c>
      <c r="E22" s="12" t="str">
        <f>_xlfn.XLOOKUP(ACP2SanFranciscoBayandDeltaPart1[[#This Row],[OSRO Name]],ACP2SanFranciscoBayandDeltaPart124[OSRO Name],ACP2SanFranciscoBayandDeltaPart124[GRA 1
Sonoma &amp; Marin Counties Coastal ],"ERROR")</f>
        <v>--</v>
      </c>
      <c r="F22" s="12" t="str">
        <f>_xlfn.XLOOKUP(ACP2SanFranciscoBayandDeltaPart1[[#This Row],[OSRO Name]],ACP2SanFranciscoBayandDeltaPart124[OSRO Name],ACP2SanFranciscoBayandDeltaPart124[GRA 2
Marin, SF &amp; San Mateo Counties Coastal],"ERROR")</f>
        <v>0* Hr.</v>
      </c>
      <c r="G22" s="4" t="str">
        <f>_xlfn.XLOOKUP(ACP2SanFranciscoBayandDeltaPart1[[#This Row],[OSRO Name]],ACP2SanFranciscoBayandDeltaPart124[OSRO Name],ACP2SanFranciscoBayandDeltaPart124[GRA 3
South SF Bay],"ERROR")</f>
        <v>0* Hr.</v>
      </c>
      <c r="H22" s="4" t="str">
        <f>_xlfn.XLOOKUP(ACP2SanFranciscoBayandDeltaPart1[[#This Row],[OSRO Name]],ACP2SanFranciscoBayandDeltaPart124[OSRO Name],ACP2SanFranciscoBayandDeltaPart124[GRA 4
Central SF Bay],"ERROR")</f>
        <v>0* Hr.</v>
      </c>
      <c r="I22" s="4" t="str">
        <f>_xlfn.XLOOKUP(ACP2SanFranciscoBayandDeltaPart1[[#This Row],[OSRO Name]],ACP2SanFranciscoBayandDeltaPart124[OSRO Name],ACP2SanFranciscoBayandDeltaPart124[GRA 5
San Pablo Bay],"ERROR")</f>
        <v>0* Hr.</v>
      </c>
      <c r="J22" s="45"/>
    </row>
    <row r="23" spans="1:10" ht="15.5" x14ac:dyDescent="0.35">
      <c r="A23" s="45"/>
      <c r="B23" s="30" t="s">
        <v>21</v>
      </c>
      <c r="C23" s="5">
        <f>_xlfn.XLOOKUP(ACP2SanFranciscoBayandDeltaPart1[[#This Row],[OSRO Name]],ACP2SanFranciscoBayandDeltaPart124[OSRO Name],ACP2SanFranciscoBayandDeltaPart124[Expiration Date],"ERROR")</f>
        <v>46550</v>
      </c>
      <c r="D23" s="12" t="str">
        <f>_xlfn.XLOOKUP(ACP2SanFranciscoBayandDeltaPart1[[#This Row],[OSRO Name]],ACP2SanFranciscoBayandDeltaPart124[OSRO Name],ACP2SanFranciscoBayandDeltaPart124[Environmental Sensitive Site Protection],"ERROR")</f>
        <v xml:space="preserve">GRA - 3 through 10  </v>
      </c>
      <c r="E23" s="12" t="str">
        <f>_xlfn.XLOOKUP(ACP2SanFranciscoBayandDeltaPart1[[#This Row],[OSRO Name]],ACP2SanFranciscoBayandDeltaPart124[OSRO Name],ACP2SanFranciscoBayandDeltaPart124[GRA 1
Sonoma &amp; Marin Counties Coastal ],"ERROR")</f>
        <v>12+ Hr.</v>
      </c>
      <c r="F23" s="12" t="str">
        <f>_xlfn.XLOOKUP(ACP2SanFranciscoBayandDeltaPart1[[#This Row],[OSRO Name]],ACP2SanFranciscoBayandDeltaPart124[OSRO Name],ACP2SanFranciscoBayandDeltaPart124[GRA 2
Marin, SF &amp; San Mateo Counties Coastal],"ERROR")</f>
        <v>12+ Hr.</v>
      </c>
      <c r="G23" s="4" t="str">
        <f>_xlfn.XLOOKUP(ACP2SanFranciscoBayandDeltaPart1[[#This Row],[OSRO Name]],ACP2SanFranciscoBayandDeltaPart124[OSRO Name],ACP2SanFranciscoBayandDeltaPart124[GRA 3
South SF Bay],"ERROR")</f>
        <v xml:space="preserve">0*, 1*, &amp; 2+ Hr. </v>
      </c>
      <c r="H23" s="4" t="str">
        <f>_xlfn.XLOOKUP(ACP2SanFranciscoBayandDeltaPart1[[#This Row],[OSRO Name]],ACP2SanFranciscoBayandDeltaPart124[OSRO Name],ACP2SanFranciscoBayandDeltaPart124[GRA 4
Central SF Bay],"ERROR")</f>
        <v xml:space="preserve">0*, 1*, &amp; 2+ Hr. </v>
      </c>
      <c r="I23" s="4" t="str">
        <f>_xlfn.XLOOKUP(ACP2SanFranciscoBayandDeltaPart1[[#This Row],[OSRO Name]],ACP2SanFranciscoBayandDeltaPart124[OSRO Name],ACP2SanFranciscoBayandDeltaPart124[GRA 5
San Pablo Bay],"ERROR")</f>
        <v xml:space="preserve">0*, 1*, &amp; 2+ Hr. </v>
      </c>
      <c r="J23" s="45"/>
    </row>
    <row r="24" spans="1:10" ht="15.5" x14ac:dyDescent="0.35">
      <c r="A24" s="45"/>
      <c r="B24" s="27" t="s">
        <v>22</v>
      </c>
      <c r="C24" s="5">
        <f>_xlfn.XLOOKUP(ACP2SanFranciscoBayandDeltaPart1[[#This Row],[OSRO Name]],ACP2SanFranciscoBayandDeltaPart124[OSRO Name],ACP2SanFranciscoBayandDeltaPart124[Expiration Date],"ERROR")</f>
        <v>47273</v>
      </c>
      <c r="D24" s="12" t="str">
        <f>_xlfn.XLOOKUP(ACP2SanFranciscoBayandDeltaPart1[[#This Row],[OSRO Name]],ACP2SanFranciscoBayandDeltaPart124[OSRO Name],ACP2SanFranciscoBayandDeltaPart124[Environmental Sensitive Site Protection],"ERROR")</f>
        <v xml:space="preserve">GRA - 1 through 10  </v>
      </c>
      <c r="E24" s="12" t="str">
        <f>_xlfn.XLOOKUP(ACP2SanFranciscoBayandDeltaPart1[[#This Row],[OSRO Name]],ACP2SanFranciscoBayandDeltaPart124[OSRO Name],ACP2SanFranciscoBayandDeltaPart124[GRA 1
Sonoma &amp; Marin Counties Coastal ],"ERROR")</f>
        <v>12+ Hr.</v>
      </c>
      <c r="F24" s="12" t="str">
        <f>_xlfn.XLOOKUP(ACP2SanFranciscoBayandDeltaPart1[[#This Row],[OSRO Name]],ACP2SanFranciscoBayandDeltaPart124[OSRO Name],ACP2SanFranciscoBayandDeltaPart124[GRA 2
Marin, SF &amp; San Mateo Counties Coastal],"ERROR")</f>
        <v>12+ Hr.</v>
      </c>
      <c r="G24" s="4" t="str">
        <f>_xlfn.XLOOKUP(ACP2SanFranciscoBayandDeltaPart1[[#This Row],[OSRO Name]],ACP2SanFranciscoBayandDeltaPart124[OSRO Name],ACP2SanFranciscoBayandDeltaPart124[GRA 3
South SF Bay],"ERROR")</f>
        <v>0* ,1*, 2, 4, 6, 24, 36, 60</v>
      </c>
      <c r="H24" s="4" t="str">
        <f>_xlfn.XLOOKUP(ACP2SanFranciscoBayandDeltaPart1[[#This Row],[OSRO Name]],ACP2SanFranciscoBayandDeltaPart124[OSRO Name],ACP2SanFranciscoBayandDeltaPart124[GRA 4
Central SF Bay],"ERROR")</f>
        <v xml:space="preserve">0*, 1*, &amp; 2+ Hr. </v>
      </c>
      <c r="I24" s="4" t="str">
        <f>_xlfn.XLOOKUP(ACP2SanFranciscoBayandDeltaPart1[[#This Row],[OSRO Name]],ACP2SanFranciscoBayandDeltaPart124[OSRO Name],ACP2SanFranciscoBayandDeltaPart124[GRA 5
San Pablo Bay],"ERROR")</f>
        <v xml:space="preserve">0*, 1*, &amp; 2+ Hr. </v>
      </c>
      <c r="J24" s="45"/>
    </row>
    <row r="25" spans="1:10" ht="15.5" hidden="1" x14ac:dyDescent="0.35">
      <c r="A25" s="45"/>
      <c r="B25" s="27" t="s">
        <v>23</v>
      </c>
      <c r="C25" s="5">
        <f>_xlfn.XLOOKUP(ACP2SanFranciscoBayandDeltaPart1[[#This Row],[OSRO Name]],ACP2SanFranciscoBayandDeltaPart124[OSRO Name],ACP2SanFranciscoBayandDeltaPart124[Expiration Date],"ERROR")</f>
        <v>45338</v>
      </c>
      <c r="D25" s="12" t="str">
        <f>_xlfn.XLOOKUP(ACP2SanFranciscoBayandDeltaPart1[[#This Row],[OSRO Name]],ACP2SanFranciscoBayandDeltaPart124[OSRO Name],ACP2SanFranciscoBayandDeltaPart124[Environmental Sensitive Site Protection],"ERROR")</f>
        <v>--</v>
      </c>
      <c r="E25" s="12" t="str">
        <f>_xlfn.XLOOKUP(ACP2SanFranciscoBayandDeltaPart1[[#This Row],[OSRO Name]],ACP2SanFranciscoBayandDeltaPart124[OSRO Name],ACP2SanFranciscoBayandDeltaPart124[GRA 1
Sonoma &amp; Marin Counties Coastal ],"ERROR")</f>
        <v>--</v>
      </c>
      <c r="F25" s="12" t="str">
        <f>_xlfn.XLOOKUP(ACP2SanFranciscoBayandDeltaPart1[[#This Row],[OSRO Name]],ACP2SanFranciscoBayandDeltaPart124[OSRO Name],ACP2SanFranciscoBayandDeltaPart124[GRA 2
Marin, SF &amp; San Mateo Counties Coastal],"ERROR")</f>
        <v>--</v>
      </c>
      <c r="G25" s="4" t="str">
        <f>_xlfn.XLOOKUP(ACP2SanFranciscoBayandDeltaPart1[[#This Row],[OSRO Name]],ACP2SanFranciscoBayandDeltaPart124[OSRO Name],ACP2SanFranciscoBayandDeltaPart124[GRA 3
South SF Bay],"ERROR")</f>
        <v>--</v>
      </c>
      <c r="H25" s="4" t="str">
        <f>_xlfn.XLOOKUP(ACP2SanFranciscoBayandDeltaPart1[[#This Row],[OSRO Name]],ACP2SanFranciscoBayandDeltaPart124[OSRO Name],ACP2SanFranciscoBayandDeltaPart124[GRA 4
Central SF Bay],"ERROR")</f>
        <v>--</v>
      </c>
      <c r="I25" s="4" t="str">
        <f>_xlfn.XLOOKUP(ACP2SanFranciscoBayandDeltaPart1[[#This Row],[OSRO Name]],ACP2SanFranciscoBayandDeltaPart124[OSRO Name],ACP2SanFranciscoBayandDeltaPart124[GRA 5
San Pablo Bay],"ERROR")</f>
        <v>--</v>
      </c>
      <c r="J25" s="45"/>
    </row>
    <row r="26" spans="1:10" ht="15.5" x14ac:dyDescent="0.35">
      <c r="A26" s="45"/>
      <c r="B26" s="27" t="s">
        <v>24</v>
      </c>
      <c r="C26" s="5">
        <f>_xlfn.XLOOKUP(ACP2SanFranciscoBayandDeltaPart1[[#This Row],[OSRO Name]],ACP2SanFranciscoBayandDeltaPart124[OSRO Name],ACP2SanFranciscoBayandDeltaPart124[Expiration Date],"ERROR")</f>
        <v>46286</v>
      </c>
      <c r="D26" s="12" t="str">
        <f>_xlfn.XLOOKUP(ACP2SanFranciscoBayandDeltaPart1[[#This Row],[OSRO Name]],ACP2SanFranciscoBayandDeltaPart124[OSRO Name],ACP2SanFranciscoBayandDeltaPart124[Environmental Sensitive Site Protection],"ERROR")</f>
        <v>--</v>
      </c>
      <c r="E26" s="12" t="str">
        <f>_xlfn.XLOOKUP(ACP2SanFranciscoBayandDeltaPart1[[#This Row],[OSRO Name]],ACP2SanFranciscoBayandDeltaPart124[OSRO Name],ACP2SanFranciscoBayandDeltaPart124[GRA 1
Sonoma &amp; Marin Counties Coastal ],"ERROR")</f>
        <v>--</v>
      </c>
      <c r="F26" s="12" t="str">
        <f>_xlfn.XLOOKUP(ACP2SanFranciscoBayandDeltaPart1[[#This Row],[OSRO Name]],ACP2SanFranciscoBayandDeltaPart124[OSRO Name],ACP2SanFranciscoBayandDeltaPart124[GRA 2
Marin, SF &amp; San Mateo Counties Coastal],"ERROR")</f>
        <v>--</v>
      </c>
      <c r="G26" s="4" t="str">
        <f>_xlfn.XLOOKUP(ACP2SanFranciscoBayandDeltaPart1[[#This Row],[OSRO Name]],ACP2SanFranciscoBayandDeltaPart124[OSRO Name],ACP2SanFranciscoBayandDeltaPart124[GRA 3
South SF Bay],"ERROR")</f>
        <v>0* ,1* &amp; 12+ Hr.</v>
      </c>
      <c r="H26" s="4" t="str">
        <f>_xlfn.XLOOKUP(ACP2SanFranciscoBayandDeltaPart1[[#This Row],[OSRO Name]],ACP2SanFranciscoBayandDeltaPart124[OSRO Name],ACP2SanFranciscoBayandDeltaPart124[GRA 4
Central SF Bay],"ERROR")</f>
        <v>0* ,1* &amp; 12+ Hr.</v>
      </c>
      <c r="I26" s="4" t="str">
        <f>_xlfn.XLOOKUP(ACP2SanFranciscoBayandDeltaPart1[[#This Row],[OSRO Name]],ACP2SanFranciscoBayandDeltaPart124[OSRO Name],ACP2SanFranciscoBayandDeltaPart124[GRA 5
San Pablo Bay],"ERROR")</f>
        <v>0* ,1* &amp; 12+ Hr.</v>
      </c>
      <c r="J26" s="45"/>
    </row>
    <row r="27" spans="1:10" ht="15.5" hidden="1" x14ac:dyDescent="0.35">
      <c r="A27" s="45"/>
      <c r="B27" s="27" t="s">
        <v>25</v>
      </c>
      <c r="C27" s="5">
        <f>_xlfn.XLOOKUP(ACP2SanFranciscoBayandDeltaPart1[[#This Row],[OSRO Name]],ACP2SanFranciscoBayandDeltaPart124[OSRO Name],ACP2SanFranciscoBayandDeltaPart124[Expiration Date],"ERROR")</f>
        <v>46550</v>
      </c>
      <c r="D27" s="12" t="str">
        <f>_xlfn.XLOOKUP(ACP2SanFranciscoBayandDeltaPart1[[#This Row],[OSRO Name]],ACP2SanFranciscoBayandDeltaPart124[OSRO Name],ACP2SanFranciscoBayandDeltaPart124[Environmental Sensitive Site Protection],"ERROR")</f>
        <v>--</v>
      </c>
      <c r="E27" s="12" t="str">
        <f>_xlfn.XLOOKUP(ACP2SanFranciscoBayandDeltaPart1[[#This Row],[OSRO Name]],ACP2SanFranciscoBayandDeltaPart124[OSRO Name],ACP2SanFranciscoBayandDeltaPart124[GRA 1
Sonoma &amp; Marin Counties Coastal ],"ERROR")</f>
        <v>--</v>
      </c>
      <c r="F27" s="12" t="str">
        <f>_xlfn.XLOOKUP(ACP2SanFranciscoBayandDeltaPart1[[#This Row],[OSRO Name]],ACP2SanFranciscoBayandDeltaPart124[OSRO Name],ACP2SanFranciscoBayandDeltaPart124[GRA 2
Marin, SF &amp; San Mateo Counties Coastal],"ERROR")</f>
        <v>--</v>
      </c>
      <c r="G27" s="4" t="str">
        <f>_xlfn.XLOOKUP(ACP2SanFranciscoBayandDeltaPart1[[#This Row],[OSRO Name]],ACP2SanFranciscoBayandDeltaPart124[OSRO Name],ACP2SanFranciscoBayandDeltaPart124[GRA 3
South SF Bay],"ERROR")</f>
        <v>--</v>
      </c>
      <c r="H27" s="4" t="str">
        <f>_xlfn.XLOOKUP(ACP2SanFranciscoBayandDeltaPart1[[#This Row],[OSRO Name]],ACP2SanFranciscoBayandDeltaPart124[OSRO Name],ACP2SanFranciscoBayandDeltaPart124[GRA 4
Central SF Bay],"ERROR")</f>
        <v>--</v>
      </c>
      <c r="I27" s="4" t="str">
        <f>_xlfn.XLOOKUP(ACP2SanFranciscoBayandDeltaPart1[[#This Row],[OSRO Name]],ACP2SanFranciscoBayandDeltaPart124[OSRO Name],ACP2SanFranciscoBayandDeltaPart124[GRA 5
San Pablo Bay],"ERROR")</f>
        <v>--</v>
      </c>
      <c r="J27" s="45"/>
    </row>
    <row r="28" spans="1:10" ht="15.5" hidden="1" x14ac:dyDescent="0.35">
      <c r="A28" s="45"/>
      <c r="B28" s="27" t="s">
        <v>26</v>
      </c>
      <c r="C28" s="5" t="str">
        <f>_xlfn.XLOOKUP(ACP2SanFranciscoBayandDeltaPart1[[#This Row],[OSRO Name]],ACP2SanFranciscoBayandDeltaPart124[OSRO Name],ACP2SanFranciscoBayandDeltaPart124[Expiration Date],"ERROR")</f>
        <v>Expired</v>
      </c>
      <c r="D28" s="12" t="str">
        <f>_xlfn.XLOOKUP(ACP2SanFranciscoBayandDeltaPart1[[#This Row],[OSRO Name]],ACP2SanFranciscoBayandDeltaPart124[OSRO Name],ACP2SanFranciscoBayandDeltaPart124[Environmental Sensitive Site Protection],"ERROR")</f>
        <v>--</v>
      </c>
      <c r="E28" s="12" t="str">
        <f>_xlfn.XLOOKUP(ACP2SanFranciscoBayandDeltaPart1[[#This Row],[OSRO Name]],ACP2SanFranciscoBayandDeltaPart124[OSRO Name],ACP2SanFranciscoBayandDeltaPart124[GRA 1
Sonoma &amp; Marin Counties Coastal ],"ERROR")</f>
        <v>--</v>
      </c>
      <c r="F28" s="12" t="str">
        <f>_xlfn.XLOOKUP(ACP2SanFranciscoBayandDeltaPart1[[#This Row],[OSRO Name]],ACP2SanFranciscoBayandDeltaPart124[OSRO Name],ACP2SanFranciscoBayandDeltaPart124[GRA 2
Marin, SF &amp; San Mateo Counties Coastal],"ERROR")</f>
        <v>--</v>
      </c>
      <c r="G28" s="4" t="str">
        <f>_xlfn.XLOOKUP(ACP2SanFranciscoBayandDeltaPart1[[#This Row],[OSRO Name]],ACP2SanFranciscoBayandDeltaPart124[OSRO Name],ACP2SanFranciscoBayandDeltaPart124[GRA 3
South SF Bay],"ERROR")</f>
        <v>--</v>
      </c>
      <c r="H28" s="4" t="str">
        <f>_xlfn.XLOOKUP(ACP2SanFranciscoBayandDeltaPart1[[#This Row],[OSRO Name]],ACP2SanFranciscoBayandDeltaPart124[OSRO Name],ACP2SanFranciscoBayandDeltaPart124[GRA 4
Central SF Bay],"ERROR")</f>
        <v>--</v>
      </c>
      <c r="I28" s="4" t="str">
        <f>_xlfn.XLOOKUP(ACP2SanFranciscoBayandDeltaPart1[[#This Row],[OSRO Name]],ACP2SanFranciscoBayandDeltaPart124[OSRO Name],ACP2SanFranciscoBayandDeltaPart124[GRA 5
San Pablo Bay],"ERROR")</f>
        <v>0* Hr</v>
      </c>
      <c r="J28" s="45"/>
    </row>
    <row r="29" spans="1:10" ht="15.5" hidden="1" x14ac:dyDescent="0.35">
      <c r="A29" s="45"/>
      <c r="B29" s="27" t="s">
        <v>27</v>
      </c>
      <c r="C29" s="5">
        <f>_xlfn.XLOOKUP(ACP2SanFranciscoBayandDeltaPart1[[#This Row],[OSRO Name]],ACP2SanFranciscoBayandDeltaPart124[OSRO Name],ACP2SanFranciscoBayandDeltaPart124[Expiration Date],"ERROR")</f>
        <v>46557</v>
      </c>
      <c r="D29" s="12" t="str">
        <f>_xlfn.XLOOKUP(ACP2SanFranciscoBayandDeltaPart1[[#This Row],[OSRO Name]],ACP2SanFranciscoBayandDeltaPart124[OSRO Name],ACP2SanFranciscoBayandDeltaPart124[Environmental Sensitive Site Protection],"ERROR")</f>
        <v>--</v>
      </c>
      <c r="E29" s="12" t="str">
        <f>_xlfn.XLOOKUP(ACP2SanFranciscoBayandDeltaPart1[[#This Row],[OSRO Name]],ACP2SanFranciscoBayandDeltaPart124[OSRO Name],ACP2SanFranciscoBayandDeltaPart124[GRA 1
Sonoma &amp; Marin Counties Coastal ],"ERROR")</f>
        <v>--</v>
      </c>
      <c r="F29" s="12" t="str">
        <f>_xlfn.XLOOKUP(ACP2SanFranciscoBayandDeltaPart1[[#This Row],[OSRO Name]],ACP2SanFranciscoBayandDeltaPart124[OSRO Name],ACP2SanFranciscoBayandDeltaPart124[GRA 2
Marin, SF &amp; San Mateo Counties Coastal],"ERROR")</f>
        <v>--</v>
      </c>
      <c r="G29" s="4" t="str">
        <f>_xlfn.XLOOKUP(ACP2SanFranciscoBayandDeltaPart1[[#This Row],[OSRO Name]],ACP2SanFranciscoBayandDeltaPart124[OSRO Name],ACP2SanFranciscoBayandDeltaPart124[GRA 3
South SF Bay],"ERROR")</f>
        <v>--</v>
      </c>
      <c r="H29" s="4" t="str">
        <f>_xlfn.XLOOKUP(ACP2SanFranciscoBayandDeltaPart1[[#This Row],[OSRO Name]],ACP2SanFranciscoBayandDeltaPart124[OSRO Name],ACP2SanFranciscoBayandDeltaPart124[GRA 4
Central SF Bay],"ERROR")</f>
        <v>--</v>
      </c>
      <c r="I29" s="4" t="str">
        <f>_xlfn.XLOOKUP(ACP2SanFranciscoBayandDeltaPart1[[#This Row],[OSRO Name]],ACP2SanFranciscoBayandDeltaPart124[OSRO Name],ACP2SanFranciscoBayandDeltaPart124[GRA 5
San Pablo Bay],"ERROR")</f>
        <v>--</v>
      </c>
      <c r="J29" s="45"/>
    </row>
    <row r="30" spans="1:10" ht="15.5" x14ac:dyDescent="0.35">
      <c r="A30" s="45"/>
      <c r="B30" s="51"/>
      <c r="C30" s="47"/>
      <c r="D30" s="48"/>
      <c r="E30" s="48"/>
      <c r="F30" s="48"/>
      <c r="G30" s="48"/>
      <c r="H30" s="48"/>
      <c r="I30" s="48"/>
      <c r="J30" s="45"/>
    </row>
    <row r="31" spans="1:10" ht="15.5" x14ac:dyDescent="0.35">
      <c r="A31" s="45"/>
      <c r="B31" s="51"/>
      <c r="C31" s="47"/>
      <c r="D31" s="48"/>
      <c r="E31" s="48"/>
      <c r="F31" s="48"/>
      <c r="G31" s="48"/>
      <c r="H31" s="48"/>
      <c r="I31" s="48"/>
      <c r="J31" s="45"/>
    </row>
    <row r="32" spans="1:10" ht="18.5" x14ac:dyDescent="0.35">
      <c r="A32" s="45"/>
      <c r="B32" s="109" t="s">
        <v>34</v>
      </c>
      <c r="C32" s="109"/>
      <c r="D32" s="109"/>
      <c r="E32" s="109"/>
      <c r="F32" s="109"/>
      <c r="G32" s="109"/>
      <c r="H32" s="109"/>
      <c r="I32" s="109"/>
      <c r="J32" s="45"/>
    </row>
    <row r="33" spans="1:10" ht="46.5" x14ac:dyDescent="0.35">
      <c r="A33" s="45"/>
      <c r="B33" s="24" t="s">
        <v>12</v>
      </c>
      <c r="C33" s="31" t="s">
        <v>13</v>
      </c>
      <c r="D33" s="32" t="s">
        <v>14</v>
      </c>
      <c r="E33" s="32" t="s">
        <v>35</v>
      </c>
      <c r="F33" s="32" t="s">
        <v>36</v>
      </c>
      <c r="G33" s="32" t="s">
        <v>37</v>
      </c>
      <c r="H33" s="32" t="s">
        <v>38</v>
      </c>
      <c r="I33" s="32" t="s">
        <v>39</v>
      </c>
      <c r="J33" s="45"/>
    </row>
    <row r="34" spans="1:10" ht="15.5" x14ac:dyDescent="0.35">
      <c r="A34" s="45"/>
      <c r="B34" s="27" t="s">
        <v>19</v>
      </c>
      <c r="C34" s="5">
        <f>_xlfn.XLOOKUP(ACP2SanFranciscoBayandDeltaPart2[[#This Row],[OSRO Name]],ACP2SanFranciscoBayandDeltaPart229[OSRO Name],ACP2SanFranciscoBayandDeltaPart229[Expiration Date],"ERROR")</f>
        <v>46451</v>
      </c>
      <c r="D34" s="12" t="str">
        <f>_xlfn.XLOOKUP(ACP2SanFranciscoBayandDeltaPart2[[#This Row],[OSRO Name]],ACP2SanFranciscoBayandDeltaPart229[OSRO Name],ACP2SanFranciscoBayandDeltaPart229[Environmental Sensitive Site Protection],"ERROR")</f>
        <v>--</v>
      </c>
      <c r="E34" s="4" t="str">
        <f>_xlfn.XLOOKUP(ACP2SanFranciscoBayandDeltaPart2[[#This Row],[OSRO Name]],ACP2SanFranciscoBayandDeltaPart229[OSRO Name],ACP2SanFranciscoBayandDeltaPart229[GRA 6
Carquinez Strait &amp; Suisun Bay ],"ERROR")</f>
        <v>24 Hr. Modified</v>
      </c>
      <c r="F34" s="4" t="str">
        <f>_xlfn.XLOOKUP(ACP2SanFranciscoBayandDeltaPart2[[#This Row],[OSRO Name]],ACP2SanFranciscoBayandDeltaPart229[OSRO Name],ACP2SanFranciscoBayandDeltaPart229[GRA 7
West Delta],"ERROR")</f>
        <v>24 Hr. Modified</v>
      </c>
      <c r="G34" s="4" t="str">
        <f>_xlfn.XLOOKUP(ACP2SanFranciscoBayandDeltaPart2[[#This Row],[OSRO Name]],ACP2SanFranciscoBayandDeltaPart229[OSRO Name],ACP2SanFranciscoBayandDeltaPart229[GRA 8
North Delta ],"ERROR")</f>
        <v>24 Hr. Modified</v>
      </c>
      <c r="H34" s="4" t="str">
        <f>_xlfn.XLOOKUP(ACP2SanFranciscoBayandDeltaPart2[[#This Row],[OSRO Name]],ACP2SanFranciscoBayandDeltaPart229[OSRO Name],ACP2SanFranciscoBayandDeltaPart229[GRA 9
South Delta],"ERROR")</f>
        <v>24 Hr. Modified</v>
      </c>
      <c r="I34" s="4" t="str">
        <f>_xlfn.XLOOKUP(ACP2SanFranciscoBayandDeltaPart2[[#This Row],[OSRO Name]],ACP2SanFranciscoBayandDeltaPart229[OSRO Name],ACP2SanFranciscoBayandDeltaPart229[GRA 10
East Delta],"ERROR")</f>
        <v>24 Hr. Modified</v>
      </c>
      <c r="J34" s="45"/>
    </row>
    <row r="35" spans="1:10" ht="15.5" x14ac:dyDescent="0.35">
      <c r="A35" s="45"/>
      <c r="B35" s="27" t="s">
        <v>20</v>
      </c>
      <c r="C35" s="5">
        <f>_xlfn.XLOOKUP(ACP2SanFranciscoBayandDeltaPart2[[#This Row],[OSRO Name]],ACP2SanFranciscoBayandDeltaPart229[OSRO Name],ACP2SanFranciscoBayandDeltaPart229[Expiration Date],"ERROR")</f>
        <v>46256</v>
      </c>
      <c r="D35" s="12" t="str">
        <f>_xlfn.XLOOKUP(ACP2SanFranciscoBayandDeltaPart2[[#This Row],[OSRO Name]],ACP2SanFranciscoBayandDeltaPart229[OSRO Name],ACP2SanFranciscoBayandDeltaPart229[Environmental Sensitive Site Protection],"ERROR")</f>
        <v>--</v>
      </c>
      <c r="E35" s="12" t="str">
        <f>_xlfn.XLOOKUP(ACP2SanFranciscoBayandDeltaPart2[[#This Row],[OSRO Name]],ACP2SanFranciscoBayandDeltaPart229[OSRO Name],ACP2SanFranciscoBayandDeltaPart229[GRA 6
Carquinez Strait &amp; Suisun Bay ],"ERROR")</f>
        <v>0* Hr.</v>
      </c>
      <c r="F35" s="12" t="str">
        <f>_xlfn.XLOOKUP(ACP2SanFranciscoBayandDeltaPart2[[#This Row],[OSRO Name]],ACP2SanFranciscoBayandDeltaPart229[OSRO Name],ACP2SanFranciscoBayandDeltaPart229[GRA 7
West Delta],"ERROR")</f>
        <v>0* Hr.</v>
      </c>
      <c r="G35" s="12" t="str">
        <f>_xlfn.XLOOKUP(ACP2SanFranciscoBayandDeltaPart2[[#This Row],[OSRO Name]],ACP2SanFranciscoBayandDeltaPart229[OSRO Name],ACP2SanFranciscoBayandDeltaPart229[GRA 8
North Delta ],"ERROR")</f>
        <v>0* Hr.</v>
      </c>
      <c r="H35" s="12" t="str">
        <f>_xlfn.XLOOKUP(ACP2SanFranciscoBayandDeltaPart2[[#This Row],[OSRO Name]],ACP2SanFranciscoBayandDeltaPart229[OSRO Name],ACP2SanFranciscoBayandDeltaPart229[GRA 9
South Delta],"ERROR")</f>
        <v>0* Hr.</v>
      </c>
      <c r="I35" s="12" t="str">
        <f>_xlfn.XLOOKUP(ACP2SanFranciscoBayandDeltaPart2[[#This Row],[OSRO Name]],ACP2SanFranciscoBayandDeltaPart229[OSRO Name],ACP2SanFranciscoBayandDeltaPart229[GRA 10
East Delta],"ERROR")</f>
        <v>0* Hr.</v>
      </c>
      <c r="J35" s="45"/>
    </row>
    <row r="36" spans="1:10" ht="15.5" x14ac:dyDescent="0.35">
      <c r="A36" s="45"/>
      <c r="B36" s="27" t="s">
        <v>21</v>
      </c>
      <c r="C36" s="1">
        <f>_xlfn.XLOOKUP(ACP2SanFranciscoBayandDeltaPart2[[#This Row],[OSRO Name]],ACP2SanFranciscoBayandDeltaPart229[OSRO Name],ACP2SanFranciscoBayandDeltaPart229[Expiration Date],"ERROR")</f>
        <v>46550</v>
      </c>
      <c r="D36" s="12" t="str">
        <f>_xlfn.XLOOKUP(ACP2SanFranciscoBayandDeltaPart2[[#This Row],[OSRO Name]],ACP2SanFranciscoBayandDeltaPart229[OSRO Name],ACP2SanFranciscoBayandDeltaPart229[Environmental Sensitive Site Protection],"ERROR")</f>
        <v xml:space="preserve">GRA - 3 through 10  </v>
      </c>
      <c r="E36" s="4" t="str">
        <f>_xlfn.XLOOKUP(ACP2SanFranciscoBayandDeltaPart2[[#This Row],[OSRO Name]],ACP2SanFranciscoBayandDeltaPart229[OSRO Name],ACP2SanFranciscoBayandDeltaPart229[GRA 6
Carquinez Strait &amp; Suisun Bay ],"ERROR")</f>
        <v xml:space="preserve">0*, 1*, &amp; 2+ Hr. </v>
      </c>
      <c r="F36" s="4" t="str">
        <f>_xlfn.XLOOKUP(ACP2SanFranciscoBayandDeltaPart2[[#This Row],[OSRO Name]],ACP2SanFranciscoBayandDeltaPart229[OSRO Name],ACP2SanFranciscoBayandDeltaPart229[GRA 7
West Delta],"ERROR")</f>
        <v xml:space="preserve">0*, 1*, &amp; 2+ Hr. </v>
      </c>
      <c r="G36" s="12" t="str">
        <f>_xlfn.XLOOKUP(ACP2SanFranciscoBayandDeltaPart2[[#This Row],[OSRO Name]],ACP2SanFranciscoBayandDeltaPart229[OSRO Name],ACP2SanFranciscoBayandDeltaPart229[GRA 8
North Delta ],"ERROR")</f>
        <v>12+ Hour</v>
      </c>
      <c r="H36" s="12" t="str">
        <f>_xlfn.XLOOKUP(ACP2SanFranciscoBayandDeltaPart2[[#This Row],[OSRO Name]],ACP2SanFranciscoBayandDeltaPart229[OSRO Name],ACP2SanFranciscoBayandDeltaPart229[GRA 9
South Delta],"ERROR")</f>
        <v>12+ Hr.</v>
      </c>
      <c r="I36" s="12" t="str">
        <f>_xlfn.XLOOKUP(ACP2SanFranciscoBayandDeltaPart2[[#This Row],[OSRO Name]],ACP2SanFranciscoBayandDeltaPart229[OSRO Name],ACP2SanFranciscoBayandDeltaPart229[GRA 10
East Delta],"ERROR")</f>
        <v>12+ Hr.</v>
      </c>
      <c r="J36" s="45"/>
    </row>
    <row r="37" spans="1:10" ht="15.5" x14ac:dyDescent="0.35">
      <c r="A37" s="45"/>
      <c r="B37" s="27" t="s">
        <v>22</v>
      </c>
      <c r="C37" s="5">
        <f>_xlfn.XLOOKUP(ACP2SanFranciscoBayandDeltaPart2[[#This Row],[OSRO Name]],ACP2SanFranciscoBayandDeltaPart229[OSRO Name],ACP2SanFranciscoBayandDeltaPart229[Expiration Date],"ERROR")</f>
        <v>47273</v>
      </c>
      <c r="D37" s="12" t="str">
        <f>_xlfn.XLOOKUP(ACP2SanFranciscoBayandDeltaPart2[[#This Row],[OSRO Name]],ACP2SanFranciscoBayandDeltaPart229[OSRO Name],ACP2SanFranciscoBayandDeltaPart229[Environmental Sensitive Site Protection],"ERROR")</f>
        <v xml:space="preserve">GRA - 1 through 10  </v>
      </c>
      <c r="E37" s="12" t="str">
        <f>_xlfn.XLOOKUP(ACP2SanFranciscoBayandDeltaPart2[[#This Row],[OSRO Name]],ACP2SanFranciscoBayandDeltaPart229[OSRO Name],ACP2SanFranciscoBayandDeltaPart229[GRA 6
Carquinez Strait &amp; Suisun Bay ],"ERROR")</f>
        <v xml:space="preserve">0*, 1*, &amp; 2+ Hr. </v>
      </c>
      <c r="F37" s="12" t="str">
        <f>_xlfn.XLOOKUP(ACP2SanFranciscoBayandDeltaPart2[[#This Row],[OSRO Name]],ACP2SanFranciscoBayandDeltaPart229[OSRO Name],ACP2SanFranciscoBayandDeltaPart229[GRA 7
West Delta],"ERROR")</f>
        <v>12+ Hr.</v>
      </c>
      <c r="G37" s="12" t="str">
        <f>_xlfn.XLOOKUP(ACP2SanFranciscoBayandDeltaPart2[[#This Row],[OSRO Name]],ACP2SanFranciscoBayandDeltaPart229[OSRO Name],ACP2SanFranciscoBayandDeltaPart229[GRA 8
North Delta ],"ERROR")</f>
        <v>12+ Hr.</v>
      </c>
      <c r="H37" s="12" t="str">
        <f>_xlfn.XLOOKUP(ACP2SanFranciscoBayandDeltaPart2[[#This Row],[OSRO Name]],ACP2SanFranciscoBayandDeltaPart229[OSRO Name],ACP2SanFranciscoBayandDeltaPart229[GRA 9
South Delta],"ERROR")</f>
        <v>12+ Hr.</v>
      </c>
      <c r="I37" s="12" t="str">
        <f>_xlfn.XLOOKUP(ACP2SanFranciscoBayandDeltaPart2[[#This Row],[OSRO Name]],ACP2SanFranciscoBayandDeltaPart229[OSRO Name],ACP2SanFranciscoBayandDeltaPart229[GRA 10
East Delta],"ERROR")</f>
        <v>12+ Hr.</v>
      </c>
      <c r="J37" s="45"/>
    </row>
    <row r="38" spans="1:10" ht="15.5" hidden="1" x14ac:dyDescent="0.35">
      <c r="A38" s="45"/>
      <c r="B38" s="27" t="s">
        <v>23</v>
      </c>
      <c r="C38" s="5">
        <f>_xlfn.XLOOKUP(ACP2SanFranciscoBayandDeltaPart2[[#This Row],[OSRO Name]],ACP2SanFranciscoBayandDeltaPart229[OSRO Name],ACP2SanFranciscoBayandDeltaPart229[Expiration Date],"ERROR")</f>
        <v>45338</v>
      </c>
      <c r="D38" s="12" t="str">
        <f>_xlfn.XLOOKUP(ACP2SanFranciscoBayandDeltaPart2[[#This Row],[OSRO Name]],ACP2SanFranciscoBayandDeltaPart229[OSRO Name],ACP2SanFranciscoBayandDeltaPart229[Environmental Sensitive Site Protection],"ERROR")</f>
        <v>--</v>
      </c>
      <c r="E38" s="12" t="str">
        <f>_xlfn.XLOOKUP(ACP2SanFranciscoBayandDeltaPart2[[#This Row],[OSRO Name]],ACP2SanFranciscoBayandDeltaPart229[OSRO Name],ACP2SanFranciscoBayandDeltaPart229[GRA 6
Carquinez Strait &amp; Suisun Bay ],"ERROR")</f>
        <v>--</v>
      </c>
      <c r="F38" s="12" t="str">
        <f>_xlfn.XLOOKUP(ACP2SanFranciscoBayandDeltaPart2[[#This Row],[OSRO Name]],ACP2SanFranciscoBayandDeltaPart229[OSRO Name],ACP2SanFranciscoBayandDeltaPart229[GRA 7
West Delta],"ERROR")</f>
        <v>--</v>
      </c>
      <c r="G38" s="12" t="str">
        <f>_xlfn.XLOOKUP(ACP2SanFranciscoBayandDeltaPart2[[#This Row],[OSRO Name]],ACP2SanFranciscoBayandDeltaPart229[OSRO Name],ACP2SanFranciscoBayandDeltaPart229[GRA 8
North Delta ],"ERROR")</f>
        <v>--</v>
      </c>
      <c r="H38" s="12" t="str">
        <f>_xlfn.XLOOKUP(ACP2SanFranciscoBayandDeltaPart2[[#This Row],[OSRO Name]],ACP2SanFranciscoBayandDeltaPart229[OSRO Name],ACP2SanFranciscoBayandDeltaPart229[GRA 9
South Delta],"ERROR")</f>
        <v>--</v>
      </c>
      <c r="I38" s="12" t="str">
        <f>_xlfn.XLOOKUP(ACP2SanFranciscoBayandDeltaPart2[[#This Row],[OSRO Name]],ACP2SanFranciscoBayandDeltaPart229[OSRO Name],ACP2SanFranciscoBayandDeltaPart229[GRA 10
East Delta],"ERROR")</f>
        <v>--</v>
      </c>
      <c r="J38" s="45"/>
    </row>
    <row r="39" spans="1:10" ht="15.5" x14ac:dyDescent="0.35">
      <c r="A39" s="45"/>
      <c r="B39" s="27" t="s">
        <v>24</v>
      </c>
      <c r="C39" s="5">
        <f>_xlfn.XLOOKUP(ACP2SanFranciscoBayandDeltaPart2[[#This Row],[OSRO Name]],ACP2SanFranciscoBayandDeltaPart229[OSRO Name],ACP2SanFranciscoBayandDeltaPart229[Expiration Date],"ERROR")</f>
        <v>46286</v>
      </c>
      <c r="D39" s="12" t="str">
        <f>_xlfn.XLOOKUP(ACP2SanFranciscoBayandDeltaPart2[[#This Row],[OSRO Name]],ACP2SanFranciscoBayandDeltaPart229[OSRO Name],ACP2SanFranciscoBayandDeltaPart229[Environmental Sensitive Site Protection],"ERROR")</f>
        <v>--</v>
      </c>
      <c r="E39" s="12" t="str">
        <f>_xlfn.XLOOKUP(ACP2SanFranciscoBayandDeltaPart2[[#This Row],[OSRO Name]],ACP2SanFranciscoBayandDeltaPart229[OSRO Name],ACP2SanFranciscoBayandDeltaPart229[GRA 6
Carquinez Strait &amp; Suisun Bay ],"ERROR")</f>
        <v>0* ,1* &amp; 12+ Hr.</v>
      </c>
      <c r="F39" s="12" t="str">
        <f>_xlfn.XLOOKUP(ACP2SanFranciscoBayandDeltaPart2[[#This Row],[OSRO Name]],ACP2SanFranciscoBayandDeltaPart229[OSRO Name],ACP2SanFranciscoBayandDeltaPart229[GRA 7
West Delta],"ERROR")</f>
        <v>0* ,1* &amp; 12+ Hr.</v>
      </c>
      <c r="G39" s="12" t="str">
        <f>_xlfn.XLOOKUP(ACP2SanFranciscoBayandDeltaPart2[[#This Row],[OSRO Name]],ACP2SanFranciscoBayandDeltaPart229[OSRO Name],ACP2SanFranciscoBayandDeltaPart229[GRA 8
North Delta ],"ERROR")</f>
        <v>0* ,1* &amp; 12+ Hr.</v>
      </c>
      <c r="H39" s="12" t="str">
        <f>_xlfn.XLOOKUP(ACP2SanFranciscoBayandDeltaPart2[[#This Row],[OSRO Name]],ACP2SanFranciscoBayandDeltaPart229[OSRO Name],ACP2SanFranciscoBayandDeltaPart229[GRA 9
South Delta],"ERROR")</f>
        <v>--</v>
      </c>
      <c r="I39" s="12" t="str">
        <f>_xlfn.XLOOKUP(ACP2SanFranciscoBayandDeltaPart2[[#This Row],[OSRO Name]],ACP2SanFranciscoBayandDeltaPart229[OSRO Name],ACP2SanFranciscoBayandDeltaPart229[GRA 10
East Delta],"ERROR")</f>
        <v>0* ,1* &amp; 12+ Hr.</v>
      </c>
      <c r="J39" s="45"/>
    </row>
    <row r="40" spans="1:10" ht="15.5" hidden="1" x14ac:dyDescent="0.35">
      <c r="A40" s="45"/>
      <c r="B40" s="27" t="s">
        <v>25</v>
      </c>
      <c r="C40" s="1">
        <f>_xlfn.XLOOKUP(ACP2SanFranciscoBayandDeltaPart2[[#This Row],[OSRO Name]],ACP2SanFranciscoBayandDeltaPart229[OSRO Name],ACP2SanFranciscoBayandDeltaPart229[Expiration Date],"ERROR")</f>
        <v>46550</v>
      </c>
      <c r="D40" s="12" t="str">
        <f>_xlfn.XLOOKUP(ACP2SanFranciscoBayandDeltaPart2[[#This Row],[OSRO Name]],ACP2SanFranciscoBayandDeltaPart229[OSRO Name],ACP2SanFranciscoBayandDeltaPart229[Environmental Sensitive Site Protection],"ERROR")</f>
        <v>--</v>
      </c>
      <c r="E40" s="12" t="str">
        <f>_xlfn.XLOOKUP(ACP2SanFranciscoBayandDeltaPart2[[#This Row],[OSRO Name]],ACP2SanFranciscoBayandDeltaPart229[OSRO Name],ACP2SanFranciscoBayandDeltaPart229[GRA 6
Carquinez Strait &amp; Suisun Bay ],"ERROR")</f>
        <v>--</v>
      </c>
      <c r="F40" s="12" t="str">
        <f>_xlfn.XLOOKUP(ACP2SanFranciscoBayandDeltaPart2[[#This Row],[OSRO Name]],ACP2SanFranciscoBayandDeltaPart229[OSRO Name],ACP2SanFranciscoBayandDeltaPart229[GRA 7
West Delta],"ERROR")</f>
        <v>--</v>
      </c>
      <c r="G40" s="12" t="str">
        <f>_xlfn.XLOOKUP(ACP2SanFranciscoBayandDeltaPart2[[#This Row],[OSRO Name]],ACP2SanFranciscoBayandDeltaPart229[OSRO Name],ACP2SanFranciscoBayandDeltaPart229[GRA 8
North Delta ],"ERROR")</f>
        <v>--</v>
      </c>
      <c r="H40" s="12" t="str">
        <f>_xlfn.XLOOKUP(ACP2SanFranciscoBayandDeltaPart2[[#This Row],[OSRO Name]],ACP2SanFranciscoBayandDeltaPart229[OSRO Name],ACP2SanFranciscoBayandDeltaPart229[GRA 9
South Delta],"ERROR")</f>
        <v>--</v>
      </c>
      <c r="I40" s="12" t="str">
        <f>_xlfn.XLOOKUP(ACP2SanFranciscoBayandDeltaPart2[[#This Row],[OSRO Name]],ACP2SanFranciscoBayandDeltaPart229[OSRO Name],ACP2SanFranciscoBayandDeltaPart229[GRA 10
East Delta],"ERROR")</f>
        <v>--</v>
      </c>
      <c r="J40" s="45"/>
    </row>
    <row r="41" spans="1:10" ht="15.5" hidden="1" x14ac:dyDescent="0.35">
      <c r="A41" s="45"/>
      <c r="B41" s="27" t="s">
        <v>26</v>
      </c>
      <c r="C41" s="5" t="str">
        <f>_xlfn.XLOOKUP(ACP2SanFranciscoBayandDeltaPart2[[#This Row],[OSRO Name]],ACP2SanFranciscoBayandDeltaPart229[OSRO Name],ACP2SanFranciscoBayandDeltaPart229[Expiration Date],"ERROR")</f>
        <v>Expired</v>
      </c>
      <c r="D41" s="12" t="str">
        <f>_xlfn.XLOOKUP(ACP2SanFranciscoBayandDeltaPart2[[#This Row],[OSRO Name]],ACP2SanFranciscoBayandDeltaPart229[OSRO Name],ACP2SanFranciscoBayandDeltaPart229[Environmental Sensitive Site Protection],"ERROR")</f>
        <v>--</v>
      </c>
      <c r="E41" s="12" t="str">
        <f>_xlfn.XLOOKUP(ACP2SanFranciscoBayandDeltaPart2[[#This Row],[OSRO Name]],ACP2SanFranciscoBayandDeltaPart229[OSRO Name],ACP2SanFranciscoBayandDeltaPart229[GRA 6
Carquinez Strait &amp; Suisun Bay ],"ERROR")</f>
        <v>--</v>
      </c>
      <c r="F41" s="12" t="str">
        <f>_xlfn.XLOOKUP(ACP2SanFranciscoBayandDeltaPart2[[#This Row],[OSRO Name]],ACP2SanFranciscoBayandDeltaPart229[OSRO Name],ACP2SanFranciscoBayandDeltaPart229[GRA 7
West Delta],"ERROR")</f>
        <v>--</v>
      </c>
      <c r="G41" s="12" t="str">
        <f>_xlfn.XLOOKUP(ACP2SanFranciscoBayandDeltaPart2[[#This Row],[OSRO Name]],ACP2SanFranciscoBayandDeltaPart229[OSRO Name],ACP2SanFranciscoBayandDeltaPart229[GRA 8
North Delta ],"ERROR")</f>
        <v>--</v>
      </c>
      <c r="H41" s="12" t="str">
        <f>_xlfn.XLOOKUP(ACP2SanFranciscoBayandDeltaPart2[[#This Row],[OSRO Name]],ACP2SanFranciscoBayandDeltaPart229[OSRO Name],ACP2SanFranciscoBayandDeltaPart229[GRA 9
South Delta],"ERROR")</f>
        <v>--</v>
      </c>
      <c r="I41" s="12" t="str">
        <f>_xlfn.XLOOKUP(ACP2SanFranciscoBayandDeltaPart2[[#This Row],[OSRO Name]],ACP2SanFranciscoBayandDeltaPart229[OSRO Name],ACP2SanFranciscoBayandDeltaPart229[GRA 10
East Delta],"ERROR")</f>
        <v>--</v>
      </c>
      <c r="J41" s="45"/>
    </row>
    <row r="42" spans="1:10" ht="15.5" hidden="1" x14ac:dyDescent="0.35">
      <c r="A42" s="45"/>
      <c r="B42" s="27" t="s">
        <v>27</v>
      </c>
      <c r="C42" s="5">
        <f>_xlfn.XLOOKUP(ACP2SanFranciscoBayandDeltaPart2[[#This Row],[OSRO Name]],ACP2SanFranciscoBayandDeltaPart229[OSRO Name],ACP2SanFranciscoBayandDeltaPart229[Expiration Date],"ERROR")</f>
        <v>46557</v>
      </c>
      <c r="D42" s="12" t="str">
        <f>_xlfn.XLOOKUP(ACP2SanFranciscoBayandDeltaPart2[[#This Row],[OSRO Name]],ACP2SanFranciscoBayandDeltaPart229[OSRO Name],ACP2SanFranciscoBayandDeltaPart229[Environmental Sensitive Site Protection],"ERROR")</f>
        <v>--</v>
      </c>
      <c r="E42" s="12" t="str">
        <f>_xlfn.XLOOKUP(ACP2SanFranciscoBayandDeltaPart2[[#This Row],[OSRO Name]],ACP2SanFranciscoBayandDeltaPart229[OSRO Name],ACP2SanFranciscoBayandDeltaPart229[GRA 6
Carquinez Strait &amp; Suisun Bay ],"ERROR")</f>
        <v>--</v>
      </c>
      <c r="F42" s="12" t="str">
        <f>_xlfn.XLOOKUP(ACP2SanFranciscoBayandDeltaPart2[[#This Row],[OSRO Name]],ACP2SanFranciscoBayandDeltaPart229[OSRO Name],ACP2SanFranciscoBayandDeltaPart229[GRA 7
West Delta],"ERROR")</f>
        <v>--</v>
      </c>
      <c r="G42" s="12" t="str">
        <f>_xlfn.XLOOKUP(ACP2SanFranciscoBayandDeltaPart2[[#This Row],[OSRO Name]],ACP2SanFranciscoBayandDeltaPart229[OSRO Name],ACP2SanFranciscoBayandDeltaPart229[GRA 8
North Delta ],"ERROR")</f>
        <v>--</v>
      </c>
      <c r="H42" s="12" t="str">
        <f>_xlfn.XLOOKUP(ACP2SanFranciscoBayandDeltaPart2[[#This Row],[OSRO Name]],ACP2SanFranciscoBayandDeltaPart229[OSRO Name],ACP2SanFranciscoBayandDeltaPart229[GRA 9
South Delta],"ERROR")</f>
        <v>--</v>
      </c>
      <c r="I42" s="12" t="str">
        <f>_xlfn.XLOOKUP(ACP2SanFranciscoBayandDeltaPart2[[#This Row],[OSRO Name]],ACP2SanFranciscoBayandDeltaPart229[OSRO Name],ACP2SanFranciscoBayandDeltaPart229[GRA 10
East Delta],"ERROR")</f>
        <v>--</v>
      </c>
      <c r="J42" s="45"/>
    </row>
    <row r="43" spans="1:10" x14ac:dyDescent="0.35">
      <c r="A43" s="45"/>
      <c r="B43" s="45"/>
      <c r="C43" s="45"/>
      <c r="D43" s="45"/>
      <c r="E43" s="45"/>
      <c r="F43" s="45"/>
      <c r="G43" s="45"/>
      <c r="H43" s="45"/>
      <c r="I43" s="45"/>
      <c r="J43" s="45"/>
    </row>
    <row r="44" spans="1:10" ht="15.5" x14ac:dyDescent="0.35">
      <c r="A44" s="45"/>
      <c r="B44" s="51"/>
      <c r="C44" s="47"/>
      <c r="D44" s="48"/>
      <c r="E44" s="48"/>
      <c r="F44" s="48"/>
      <c r="G44" s="48"/>
      <c r="H44" s="48"/>
      <c r="I44" s="48"/>
      <c r="J44" s="45"/>
    </row>
    <row r="45" spans="1:10" ht="18.5" x14ac:dyDescent="0.35">
      <c r="A45" s="45"/>
      <c r="B45" s="110" t="s">
        <v>40</v>
      </c>
      <c r="C45" s="111"/>
      <c r="D45" s="111"/>
      <c r="E45" s="111"/>
      <c r="F45" s="111"/>
      <c r="G45" s="111"/>
      <c r="H45" s="111"/>
      <c r="I45" s="112"/>
      <c r="J45" s="45"/>
    </row>
    <row r="46" spans="1:10" ht="46.5" x14ac:dyDescent="0.35">
      <c r="A46" s="45"/>
      <c r="B46" s="33" t="s">
        <v>12</v>
      </c>
      <c r="C46" s="34" t="s">
        <v>13</v>
      </c>
      <c r="D46" s="34" t="s">
        <v>14</v>
      </c>
      <c r="E46" s="34" t="s">
        <v>41</v>
      </c>
      <c r="F46" s="34" t="s">
        <v>42</v>
      </c>
      <c r="G46" s="34" t="s">
        <v>43</v>
      </c>
      <c r="H46" s="34" t="s">
        <v>44</v>
      </c>
      <c r="I46" s="34" t="s">
        <v>45</v>
      </c>
      <c r="J46" s="45"/>
    </row>
    <row r="47" spans="1:10" ht="15.5" hidden="1" x14ac:dyDescent="0.35">
      <c r="A47" s="45"/>
      <c r="B47" s="27" t="s">
        <v>19</v>
      </c>
      <c r="C47" s="5">
        <f>_xlfn.XLOOKUP(ACP3CentralCoast[[#This Row],[OSRO Name]],ACP3CentralCoast25[OSRO Name],ACP3CentralCoast25[Expiration Date],"ERROR")</f>
        <v>46451</v>
      </c>
      <c r="D47" s="12" t="str">
        <f>_xlfn.XLOOKUP(ACP3CentralCoast[[#This Row],[OSRO Name]],ACP3CentralCoast25[OSRO Name],ACP3CentralCoast25[Environmental Sensitive Site Protection],"Error")</f>
        <v>--</v>
      </c>
      <c r="E47" s="12" t="str">
        <f>_xlfn.XLOOKUP(ACP3CentralCoast[[#This Row],[OSRO Name]],ACP3CentralCoast25[OSRO Name],ACP3CentralCoast25[GRA 1
North Santa Cruz County ],"ERROR")</f>
        <v>--</v>
      </c>
      <c r="F47" s="12" t="str">
        <f>_xlfn.XLOOKUP(ACP3CentralCoast[[#This Row],[OSRO Name]],ACP3CentralCoast25[OSRO Name],ACP3CentralCoast25[GRA 2
South Santa Cruz County ],"ERROR")</f>
        <v>--</v>
      </c>
      <c r="G47" s="12" t="str">
        <f>_xlfn.XLOOKUP(ACP3CentralCoast[[#This Row],[OSRO Name]],ACP3CentralCoast25[OSRO Name],ACP3CentralCoast25[GRA 3
North Monterey County ],"ERROR")</f>
        <v>--</v>
      </c>
      <c r="H47" s="12" t="str">
        <f>_xlfn.XLOOKUP(ACP3CentralCoast[[#This Row],[OSRO Name]],ACP3CentralCoast25[OSRO Name],ACP3CentralCoast25[GRA 4
Central Monterey County ],"ERROR")</f>
        <v>--</v>
      </c>
      <c r="I47" s="12" t="str">
        <f>_xlfn.XLOOKUP(ACP3CentralCoast[[#This Row],[OSRO Name]],ACP3CentralCoast25[OSRO Name],ACP3CentralCoast25[GRA 5
South Monterey County],"ERROR")</f>
        <v>--</v>
      </c>
      <c r="J47" s="45"/>
    </row>
    <row r="48" spans="1:10" ht="15.5" hidden="1" x14ac:dyDescent="0.35">
      <c r="A48" s="45"/>
      <c r="B48" s="27" t="s">
        <v>20</v>
      </c>
      <c r="C48" s="5">
        <f>_xlfn.XLOOKUP(ACP3CentralCoast[[#This Row],[OSRO Name]],ACP3CentralCoast25[OSRO Name],ACP3CentralCoast25[Expiration Date],"ERROR")</f>
        <v>46256</v>
      </c>
      <c r="D48" s="12" t="str">
        <f>_xlfn.XLOOKUP(ACP3CentralCoast[[#This Row],[OSRO Name]],ACP3CentralCoast25[OSRO Name],ACP3CentralCoast25[Environmental Sensitive Site Protection],"Error")</f>
        <v>--</v>
      </c>
      <c r="E48" s="12" t="str">
        <f>_xlfn.XLOOKUP(ACP3CentralCoast[[#This Row],[OSRO Name]],ACP3CentralCoast25[OSRO Name],ACP3CentralCoast25[GRA 1
North Santa Cruz County ],"ERROR")</f>
        <v>--</v>
      </c>
      <c r="F48" s="12" t="str">
        <f>_xlfn.XLOOKUP(ACP3CentralCoast[[#This Row],[OSRO Name]],ACP3CentralCoast25[OSRO Name],ACP3CentralCoast25[GRA 2
South Santa Cruz County ],"ERROR")</f>
        <v>--</v>
      </c>
      <c r="G48" s="12" t="str">
        <f>_xlfn.XLOOKUP(ACP3CentralCoast[[#This Row],[OSRO Name]],ACP3CentralCoast25[OSRO Name],ACP3CentralCoast25[GRA 3
North Monterey County ],"ERROR")</f>
        <v>--</v>
      </c>
      <c r="H48" s="12" t="str">
        <f>_xlfn.XLOOKUP(ACP3CentralCoast[[#This Row],[OSRO Name]],ACP3CentralCoast25[OSRO Name],ACP3CentralCoast25[GRA 4
Central Monterey County ],"ERROR")</f>
        <v>--</v>
      </c>
      <c r="I48" s="12" t="str">
        <f>_xlfn.XLOOKUP(ACP3CentralCoast[[#This Row],[OSRO Name]],ACP3CentralCoast25[OSRO Name],ACP3CentralCoast25[GRA 5
South Monterey County],"ERROR")</f>
        <v>--</v>
      </c>
      <c r="J48" s="45"/>
    </row>
    <row r="49" spans="1:10" ht="15.5" x14ac:dyDescent="0.35">
      <c r="A49" s="45"/>
      <c r="B49" s="35" t="s">
        <v>21</v>
      </c>
      <c r="C49" s="1">
        <f>_xlfn.XLOOKUP(ACP3CentralCoast[[#This Row],[OSRO Name]],ACP3CentralCoast25[OSRO Name],ACP3CentralCoast25[Expiration Date],"ERROR")</f>
        <v>46550</v>
      </c>
      <c r="D49" s="3" t="str">
        <f>_xlfn.XLOOKUP(ACP3CentralCoast[[#This Row],[OSRO Name]],ACP3CentralCoast25[OSRO Name],ACP3CentralCoast25[Environmental Sensitive Site Protection],"Error")</f>
        <v>GRA - 1 through 5</v>
      </c>
      <c r="E49" s="3" t="str">
        <f>_xlfn.XLOOKUP(ACP3CentralCoast[[#This Row],[OSRO Name]],ACP3CentralCoast25[OSRO Name],ACP3CentralCoast25[GRA 1
North Santa Cruz County ],"ERROR")</f>
        <v>24+ Hour</v>
      </c>
      <c r="F49" s="3" t="str">
        <f>_xlfn.XLOOKUP(ACP3CentralCoast[[#This Row],[OSRO Name]],ACP3CentralCoast25[OSRO Name],ACP3CentralCoast25[GRA 2
South Santa Cruz County ],"ERROR")</f>
        <v>24+ Hour</v>
      </c>
      <c r="G49" s="3" t="str">
        <f>_xlfn.XLOOKUP(ACP3CentralCoast[[#This Row],[OSRO Name]],ACP3CentralCoast25[OSRO Name],ACP3CentralCoast25[GRA 3
North Monterey County ],"ERROR")</f>
        <v>24+ Hour</v>
      </c>
      <c r="H49" s="3" t="str">
        <f>_xlfn.XLOOKUP(ACP3CentralCoast[[#This Row],[OSRO Name]],ACP3CentralCoast25[OSRO Name],ACP3CentralCoast25[GRA 4
Central Monterey County ],"ERROR")</f>
        <v>24+ Hour</v>
      </c>
      <c r="I49" s="3" t="str">
        <f>_xlfn.XLOOKUP(ACP3CentralCoast[[#This Row],[OSRO Name]],ACP3CentralCoast25[OSRO Name],ACP3CentralCoast25[GRA 5
South Monterey County],"ERROR")</f>
        <v>24+ Hour</v>
      </c>
      <c r="J49" s="45"/>
    </row>
    <row r="50" spans="1:10" ht="15.5" x14ac:dyDescent="0.35">
      <c r="A50" s="45"/>
      <c r="B50" s="27" t="s">
        <v>22</v>
      </c>
      <c r="C50" s="5">
        <f>_xlfn.XLOOKUP(ACP3CentralCoast[[#This Row],[OSRO Name]],ACP3CentralCoast25[OSRO Name],ACP3CentralCoast25[Expiration Date],"ERROR")</f>
        <v>47273</v>
      </c>
      <c r="D50" s="3" t="str">
        <f>_xlfn.XLOOKUP(ACP3CentralCoast[[#This Row],[OSRO Name]],ACP3CentralCoast25[OSRO Name],ACP3CentralCoast25[Environmental Sensitive Site Protection],"Error")</f>
        <v>GRA - 1 through 5</v>
      </c>
      <c r="E50" s="3" t="str">
        <f>_xlfn.XLOOKUP(ACP3CentralCoast[[#This Row],[OSRO Name]],ACP3CentralCoast25[OSRO Name],ACP3CentralCoast25[GRA 1
North Santa Cruz County ],"ERROR")</f>
        <v>24+ Hour</v>
      </c>
      <c r="F50" s="3" t="str">
        <f>_xlfn.XLOOKUP(ACP3CentralCoast[[#This Row],[OSRO Name]],ACP3CentralCoast25[OSRO Name],ACP3CentralCoast25[GRA 2
South Santa Cruz County ],"ERROR")</f>
        <v>24+ Hour</v>
      </c>
      <c r="G50" s="3" t="str">
        <f>_xlfn.XLOOKUP(ACP3CentralCoast[[#This Row],[OSRO Name]],ACP3CentralCoast25[OSRO Name],ACP3CentralCoast25[GRA 3
North Monterey County ],"ERROR")</f>
        <v>24+ Hour</v>
      </c>
      <c r="H50" s="3" t="str">
        <f>_xlfn.XLOOKUP(ACP3CentralCoast[[#This Row],[OSRO Name]],ACP3CentralCoast25[OSRO Name],ACP3CentralCoast25[GRA 4
Central Monterey County ],"ERROR")</f>
        <v>24+ Hour</v>
      </c>
      <c r="I50" s="3" t="str">
        <f>_xlfn.XLOOKUP(ACP3CentralCoast[[#This Row],[OSRO Name]],ACP3CentralCoast25[OSRO Name],ACP3CentralCoast25[GRA 5
South Monterey County],"ERROR")</f>
        <v>24+ Hour</v>
      </c>
      <c r="J50" s="45"/>
    </row>
    <row r="51" spans="1:10" ht="15.5" hidden="1" x14ac:dyDescent="0.35">
      <c r="A51" s="45"/>
      <c r="B51" s="27" t="s">
        <v>23</v>
      </c>
      <c r="C51" s="5">
        <f>_xlfn.XLOOKUP(ACP3CentralCoast[[#This Row],[OSRO Name]],ACP3CentralCoast25[OSRO Name],ACP3CentralCoast25[Expiration Date],"ERROR")</f>
        <v>45338</v>
      </c>
      <c r="D51" s="12" t="str">
        <f>_xlfn.XLOOKUP(ACP3CentralCoast[[#This Row],[OSRO Name]],ACP3CentralCoast25[OSRO Name],ACP3CentralCoast25[Environmental Sensitive Site Protection],"Error")</f>
        <v>--</v>
      </c>
      <c r="E51" s="12" t="str">
        <f>_xlfn.XLOOKUP(ACP3CentralCoast[[#This Row],[OSRO Name]],ACP3CentralCoast25[OSRO Name],ACP3CentralCoast25[GRA 1
North Santa Cruz County ],"ERROR")</f>
        <v>--</v>
      </c>
      <c r="F51" s="12" t="str">
        <f>_xlfn.XLOOKUP(ACP3CentralCoast[[#This Row],[OSRO Name]],ACP3CentralCoast25[OSRO Name],ACP3CentralCoast25[GRA 2
South Santa Cruz County ],"ERROR")</f>
        <v>--</v>
      </c>
      <c r="G51" s="12" t="str">
        <f>_xlfn.XLOOKUP(ACP3CentralCoast[[#This Row],[OSRO Name]],ACP3CentralCoast25[OSRO Name],ACP3CentralCoast25[GRA 3
North Monterey County ],"ERROR")</f>
        <v>--</v>
      </c>
      <c r="H51" s="12" t="str">
        <f>_xlfn.XLOOKUP(ACP3CentralCoast[[#This Row],[OSRO Name]],ACP3CentralCoast25[OSRO Name],ACP3CentralCoast25[GRA 4
Central Monterey County ],"ERROR")</f>
        <v>--</v>
      </c>
      <c r="I51" s="12" t="str">
        <f>_xlfn.XLOOKUP(ACP3CentralCoast[[#This Row],[OSRO Name]],ACP3CentralCoast25[OSRO Name],ACP3CentralCoast25[GRA 5
South Monterey County],"ERROR")</f>
        <v>--</v>
      </c>
      <c r="J51" s="45"/>
    </row>
    <row r="52" spans="1:10" ht="15.5" hidden="1" x14ac:dyDescent="0.35">
      <c r="A52" s="45"/>
      <c r="B52" s="27" t="s">
        <v>24</v>
      </c>
      <c r="C52" s="5">
        <f>_xlfn.XLOOKUP(ACP3CentralCoast[[#This Row],[OSRO Name]],ACP3CentralCoast25[OSRO Name],ACP3CentralCoast25[Expiration Date],"ERROR")</f>
        <v>46286</v>
      </c>
      <c r="D52" s="12" t="str">
        <f>_xlfn.XLOOKUP(ACP3CentralCoast[[#This Row],[OSRO Name]],ACP3CentralCoast25[OSRO Name],ACP3CentralCoast25[Environmental Sensitive Site Protection],"Error")</f>
        <v>--</v>
      </c>
      <c r="E52" s="12" t="str">
        <f>_xlfn.XLOOKUP(ACP3CentralCoast[[#This Row],[OSRO Name]],ACP3CentralCoast25[OSRO Name],ACP3CentralCoast25[GRA 1
North Santa Cruz County ],"ERROR")</f>
        <v>--</v>
      </c>
      <c r="F52" s="12" t="str">
        <f>_xlfn.XLOOKUP(ACP3CentralCoast[[#This Row],[OSRO Name]],ACP3CentralCoast25[OSRO Name],ACP3CentralCoast25[GRA 2
South Santa Cruz County ],"ERROR")</f>
        <v>--</v>
      </c>
      <c r="G52" s="12" t="str">
        <f>_xlfn.XLOOKUP(ACP3CentralCoast[[#This Row],[OSRO Name]],ACP3CentralCoast25[OSRO Name],ACP3CentralCoast25[GRA 3
North Monterey County ],"ERROR")</f>
        <v>--</v>
      </c>
      <c r="H52" s="12" t="str">
        <f>_xlfn.XLOOKUP(ACP3CentralCoast[[#This Row],[OSRO Name]],ACP3CentralCoast25[OSRO Name],ACP3CentralCoast25[GRA 4
Central Monterey County ],"ERROR")</f>
        <v>--</v>
      </c>
      <c r="I52" s="12" t="str">
        <f>_xlfn.XLOOKUP(ACP3CentralCoast[[#This Row],[OSRO Name]],ACP3CentralCoast25[OSRO Name],ACP3CentralCoast25[GRA 5
South Monterey County],"ERROR")</f>
        <v>--</v>
      </c>
      <c r="J52" s="45"/>
    </row>
    <row r="53" spans="1:10" ht="15.5" hidden="1" x14ac:dyDescent="0.35">
      <c r="A53" s="45"/>
      <c r="B53" s="27" t="s">
        <v>25</v>
      </c>
      <c r="C53" s="1">
        <f>_xlfn.XLOOKUP(ACP3CentralCoast[[#This Row],[OSRO Name]],ACP3CentralCoast25[OSRO Name],ACP3CentralCoast25[Expiration Date],"ERROR")</f>
        <v>46550</v>
      </c>
      <c r="D53" s="12" t="str">
        <f>_xlfn.XLOOKUP(ACP3CentralCoast[[#This Row],[OSRO Name]],ACP3CentralCoast25[OSRO Name],ACP3CentralCoast25[Environmental Sensitive Site Protection],"Error")</f>
        <v>--</v>
      </c>
      <c r="E53" s="12" t="str">
        <f>_xlfn.XLOOKUP(ACP3CentralCoast[[#This Row],[OSRO Name]],ACP3CentralCoast25[OSRO Name],ACP3CentralCoast25[GRA 1
North Santa Cruz County ],"ERROR")</f>
        <v>--</v>
      </c>
      <c r="F53" s="12" t="str">
        <f>_xlfn.XLOOKUP(ACP3CentralCoast[[#This Row],[OSRO Name]],ACP3CentralCoast25[OSRO Name],ACP3CentralCoast25[GRA 2
South Santa Cruz County ],"ERROR")</f>
        <v>--</v>
      </c>
      <c r="G53" s="12" t="str">
        <f>_xlfn.XLOOKUP(ACP3CentralCoast[[#This Row],[OSRO Name]],ACP3CentralCoast25[OSRO Name],ACP3CentralCoast25[GRA 3
North Monterey County ],"ERROR")</f>
        <v>--</v>
      </c>
      <c r="H53" s="12" t="str">
        <f>_xlfn.XLOOKUP(ACP3CentralCoast[[#This Row],[OSRO Name]],ACP3CentralCoast25[OSRO Name],ACP3CentralCoast25[GRA 4
Central Monterey County ],"ERROR")</f>
        <v>--</v>
      </c>
      <c r="I53" s="12" t="str">
        <f>_xlfn.XLOOKUP(ACP3CentralCoast[[#This Row],[OSRO Name]],ACP3CentralCoast25[OSRO Name],ACP3CentralCoast25[GRA 5
South Monterey County],"ERROR")</f>
        <v>--</v>
      </c>
      <c r="J53" s="45"/>
    </row>
    <row r="54" spans="1:10" ht="15.5" hidden="1" x14ac:dyDescent="0.35">
      <c r="A54" s="45"/>
      <c r="B54" s="27" t="s">
        <v>26</v>
      </c>
      <c r="C54" s="5" t="str">
        <f>_xlfn.XLOOKUP(ACP3CentralCoast[[#This Row],[OSRO Name]],ACP3CentralCoast25[OSRO Name],ACP3CentralCoast25[Expiration Date],"ERROR")</f>
        <v>Expired</v>
      </c>
      <c r="D54" s="12" t="str">
        <f>_xlfn.XLOOKUP(ACP3CentralCoast[[#This Row],[OSRO Name]],ACP3CentralCoast25[OSRO Name],ACP3CentralCoast25[Environmental Sensitive Site Protection],"Error")</f>
        <v>--</v>
      </c>
      <c r="E54" s="12" t="str">
        <f>_xlfn.XLOOKUP(ACP3CentralCoast[[#This Row],[OSRO Name]],ACP3CentralCoast25[OSRO Name],ACP3CentralCoast25[GRA 1
North Santa Cruz County ],"ERROR")</f>
        <v>--</v>
      </c>
      <c r="F54" s="12" t="str">
        <f>_xlfn.XLOOKUP(ACP3CentralCoast[[#This Row],[OSRO Name]],ACP3CentralCoast25[OSRO Name],ACP3CentralCoast25[GRA 2
South Santa Cruz County ],"ERROR")</f>
        <v>--</v>
      </c>
      <c r="G54" s="12" t="str">
        <f>_xlfn.XLOOKUP(ACP3CentralCoast[[#This Row],[OSRO Name]],ACP3CentralCoast25[OSRO Name],ACP3CentralCoast25[GRA 3
North Monterey County ],"ERROR")</f>
        <v>--</v>
      </c>
      <c r="H54" s="12" t="str">
        <f>_xlfn.XLOOKUP(ACP3CentralCoast[[#This Row],[OSRO Name]],ACP3CentralCoast25[OSRO Name],ACP3CentralCoast25[GRA 4
Central Monterey County ],"ERROR")</f>
        <v>--</v>
      </c>
      <c r="I54" s="12" t="str">
        <f>_xlfn.XLOOKUP(ACP3CentralCoast[[#This Row],[OSRO Name]],ACP3CentralCoast25[OSRO Name],ACP3CentralCoast25[GRA 5
South Monterey County],"ERROR")</f>
        <v>--</v>
      </c>
      <c r="J54" s="45"/>
    </row>
    <row r="55" spans="1:10" ht="15.5" hidden="1" x14ac:dyDescent="0.35">
      <c r="A55" s="45"/>
      <c r="B55" s="27" t="s">
        <v>27</v>
      </c>
      <c r="C55" s="5">
        <f>_xlfn.XLOOKUP(ACP3CentralCoast[[#This Row],[OSRO Name]],ACP3CentralCoast25[OSRO Name],ACP3CentralCoast25[Expiration Date],"ERROR")</f>
        <v>46557</v>
      </c>
      <c r="D55" s="12" t="str">
        <f>_xlfn.XLOOKUP(ACP3CentralCoast[[#This Row],[OSRO Name]],ACP3CentralCoast25[OSRO Name],ACP3CentralCoast25[Environmental Sensitive Site Protection],"Error")</f>
        <v>--</v>
      </c>
      <c r="E55" s="12" t="str">
        <f>_xlfn.XLOOKUP(ACP3CentralCoast[[#This Row],[OSRO Name]],ACP3CentralCoast25[OSRO Name],ACP3CentralCoast25[GRA 1
North Santa Cruz County ],"ERROR")</f>
        <v>--</v>
      </c>
      <c r="F55" s="12" t="str">
        <f>_xlfn.XLOOKUP(ACP3CentralCoast[[#This Row],[OSRO Name]],ACP3CentralCoast25[OSRO Name],ACP3CentralCoast25[GRA 2
South Santa Cruz County ],"ERROR")</f>
        <v>--</v>
      </c>
      <c r="G55" s="12" t="str">
        <f>_xlfn.XLOOKUP(ACP3CentralCoast[[#This Row],[OSRO Name]],ACP3CentralCoast25[OSRO Name],ACP3CentralCoast25[GRA 3
North Monterey County ],"ERROR")</f>
        <v>--</v>
      </c>
      <c r="H55" s="12" t="str">
        <f>_xlfn.XLOOKUP(ACP3CentralCoast[[#This Row],[OSRO Name]],ACP3CentralCoast25[OSRO Name],ACP3CentralCoast25[GRA 4
Central Monterey County ],"ERROR")</f>
        <v>--</v>
      </c>
      <c r="I55" s="12" t="str">
        <f>_xlfn.XLOOKUP(ACP3CentralCoast[[#This Row],[OSRO Name]],ACP3CentralCoast25[OSRO Name],ACP3CentralCoast25[GRA 5
South Monterey County],"ERROR")</f>
        <v>--</v>
      </c>
      <c r="J55" s="45"/>
    </row>
    <row r="56" spans="1:10" ht="15.5" x14ac:dyDescent="0.35">
      <c r="A56" s="45"/>
      <c r="B56" s="51"/>
      <c r="C56" s="47"/>
      <c r="D56" s="48"/>
      <c r="E56" s="48"/>
      <c r="F56" s="48"/>
      <c r="G56" s="48"/>
      <c r="H56" s="48"/>
      <c r="I56" s="48"/>
      <c r="J56" s="45"/>
    </row>
    <row r="57" spans="1:10" x14ac:dyDescent="0.35">
      <c r="A57" s="45"/>
      <c r="B57" s="45"/>
      <c r="C57" s="45"/>
      <c r="D57" s="45"/>
      <c r="E57" s="45"/>
      <c r="F57" s="45"/>
      <c r="G57" s="45"/>
      <c r="H57" s="45"/>
      <c r="I57" s="45"/>
      <c r="J57" s="45"/>
    </row>
    <row r="58" spans="1:10" ht="18.5" x14ac:dyDescent="0.35">
      <c r="A58" s="45"/>
      <c r="B58" s="115" t="s">
        <v>46</v>
      </c>
      <c r="C58" s="116"/>
      <c r="D58" s="116"/>
      <c r="E58" s="116"/>
      <c r="F58" s="116"/>
      <c r="G58" s="116"/>
      <c r="H58" s="117"/>
      <c r="I58" s="45"/>
      <c r="J58" s="45"/>
    </row>
    <row r="59" spans="1:10" ht="31" x14ac:dyDescent="0.35">
      <c r="A59" s="45"/>
      <c r="B59" s="36" t="s">
        <v>12</v>
      </c>
      <c r="C59" s="25" t="s">
        <v>13</v>
      </c>
      <c r="D59" s="25" t="s">
        <v>14</v>
      </c>
      <c r="E59" s="25" t="s">
        <v>47</v>
      </c>
      <c r="F59" s="25" t="s">
        <v>48</v>
      </c>
      <c r="G59" s="25" t="s">
        <v>49</v>
      </c>
      <c r="H59" s="25" t="s">
        <v>50</v>
      </c>
      <c r="I59" s="45"/>
      <c r="J59" s="45"/>
    </row>
    <row r="60" spans="1:10" ht="15.5" hidden="1" x14ac:dyDescent="0.35">
      <c r="A60" s="45"/>
      <c r="B60" s="26" t="s">
        <v>51</v>
      </c>
      <c r="C60" s="5">
        <f>_xlfn.XLOOKUP(ACP4LALBNorth[[#This Row],[OSRO Name]],ACP4LALBNorth26[OSRO Name],ACP4LALBNorth26[Expiration Date],"ERROR")</f>
        <v>47007</v>
      </c>
      <c r="D60" s="12" t="str">
        <f>_xlfn.XLOOKUP(ACP4LALBNorth[[#This Row],[OSRO Name]],ACP4LALBNorth26[OSRO Name],ACP4LALBNorth26[Environmental Sensitive Site Protection],"ERROR")</f>
        <v>--</v>
      </c>
      <c r="E60" s="12" t="str">
        <f>_xlfn.XLOOKUP(ACP4LALBNorth[[#This Row],[OSRO Name]],ACP4LALBNorth26[OSRO Name],ACP4LALBNorth26[GRA 1, 2, &amp; 4
San Luis Obispo],"ERROR")</f>
        <v>--</v>
      </c>
      <c r="F60" s="12" t="str">
        <f>_xlfn.XLOOKUP(ACP4LALBNorth[[#This Row],[OSRO Name]],ACP4LALBNorth26[OSRO Name],ACP4LALBNorth26[GRA 5 &amp; 6
Santa Barbara],"ERROR")</f>
        <v>--</v>
      </c>
      <c r="G60" s="12" t="str">
        <f>_xlfn.XLOOKUP(ACP4LALBNorth[[#This Row],[OSRO Name]],ACP4LALBNorth26[OSRO Name],ACP4LALBNorth26[GRA 7
Port Hueneme ],"ERROR")</f>
        <v>--</v>
      </c>
      <c r="H60" s="12" t="str">
        <f>_xlfn.XLOOKUP(ACP4LALBNorth[[#This Row],[OSRO Name]],ACP4LALBNorth26[OSRO Name],ACP4LALBNorth26[GRA 8
Channel Islands],"ERROR")</f>
        <v>--</v>
      </c>
      <c r="I60" s="45"/>
      <c r="J60" s="45"/>
    </row>
    <row r="61" spans="1:10" ht="15.5" hidden="1" x14ac:dyDescent="0.35">
      <c r="A61" s="45"/>
      <c r="B61" s="26" t="s">
        <v>19</v>
      </c>
      <c r="C61" s="5">
        <f>_xlfn.XLOOKUP(ACP4LALBNorth[[#This Row],[OSRO Name]],ACP4LALBNorth26[OSRO Name],ACP4LALBNorth26[Expiration Date],"ERROR")</f>
        <v>46451</v>
      </c>
      <c r="D61" s="12" t="str">
        <f>_xlfn.XLOOKUP(ACP4LALBNorth[[#This Row],[OSRO Name]],ACP4LALBNorth26[OSRO Name],ACP4LALBNorth26[Environmental Sensitive Site Protection],"ERROR")</f>
        <v>--</v>
      </c>
      <c r="E61" s="12" t="str">
        <f>_xlfn.XLOOKUP(ACP4LALBNorth[[#This Row],[OSRO Name]],ACP4LALBNorth26[OSRO Name],ACP4LALBNorth26[GRA 1, 2, &amp; 4
San Luis Obispo],"ERROR")</f>
        <v>--</v>
      </c>
      <c r="F61" s="12" t="str">
        <f>_xlfn.XLOOKUP(ACP4LALBNorth[[#This Row],[OSRO Name]],ACP4LALBNorth26[OSRO Name],ACP4LALBNorth26[GRA 5 &amp; 6
Santa Barbara],"ERROR")</f>
        <v>--</v>
      </c>
      <c r="G61" s="12" t="str">
        <f>_xlfn.XLOOKUP(ACP4LALBNorth[[#This Row],[OSRO Name]],ACP4LALBNorth26[OSRO Name],ACP4LALBNorth26[GRA 7
Port Hueneme ],"ERROR")</f>
        <v>--</v>
      </c>
      <c r="H61" s="12" t="str">
        <f>_xlfn.XLOOKUP(ACP4LALBNorth[[#This Row],[OSRO Name]],ACP4LALBNorth26[OSRO Name],ACP4LALBNorth26[GRA 8
Channel Islands],"ERROR")</f>
        <v>--</v>
      </c>
      <c r="I61" s="45"/>
      <c r="J61" s="45"/>
    </row>
    <row r="62" spans="1:10" ht="15.5" hidden="1" x14ac:dyDescent="0.35">
      <c r="A62" s="45"/>
      <c r="B62" s="26" t="s">
        <v>20</v>
      </c>
      <c r="C62" s="5">
        <f>_xlfn.XLOOKUP(ACP4LALBNorth[[#This Row],[OSRO Name]],ACP4LALBNorth26[OSRO Name],ACP4LALBNorth26[Expiration Date],"ERROR")</f>
        <v>46256</v>
      </c>
      <c r="D62" s="12" t="str">
        <f>_xlfn.XLOOKUP(ACP4LALBNorth[[#This Row],[OSRO Name]],ACP4LALBNorth26[OSRO Name],ACP4LALBNorth26[Environmental Sensitive Site Protection],"ERROR")</f>
        <v>--</v>
      </c>
      <c r="E62" s="12" t="str">
        <f>_xlfn.XLOOKUP(ACP4LALBNorth[[#This Row],[OSRO Name]],ACP4LALBNorth26[OSRO Name],ACP4LALBNorth26[GRA 1, 2, &amp; 4
San Luis Obispo],"ERROR")</f>
        <v>--</v>
      </c>
      <c r="F62" s="12" t="str">
        <f>_xlfn.XLOOKUP(ACP4LALBNorth[[#This Row],[OSRO Name]],ACP4LALBNorth26[OSRO Name],ACP4LALBNorth26[GRA 5 &amp; 6
Santa Barbara],"ERROR")</f>
        <v>--</v>
      </c>
      <c r="G62" s="12" t="str">
        <f>_xlfn.XLOOKUP(ACP4LALBNorth[[#This Row],[OSRO Name]],ACP4LALBNorth26[OSRO Name],ACP4LALBNorth26[GRA 7
Port Hueneme ],"ERROR")</f>
        <v>--</v>
      </c>
      <c r="H62" s="12" t="str">
        <f>_xlfn.XLOOKUP(ACP4LALBNorth[[#This Row],[OSRO Name]],ACP4LALBNorth26[OSRO Name],ACP4LALBNorth26[GRA 8
Channel Islands],"ERROR")</f>
        <v>--</v>
      </c>
      <c r="I62" s="45"/>
      <c r="J62" s="45"/>
    </row>
    <row r="63" spans="1:10" ht="15.5" x14ac:dyDescent="0.35">
      <c r="A63" s="45"/>
      <c r="B63" s="37" t="s">
        <v>21</v>
      </c>
      <c r="C63" s="1">
        <f>_xlfn.XLOOKUP(ACP4LALBNorth[[#This Row],[OSRO Name]],ACP4LALBNorth26[OSRO Name],ACP4LALBNorth26[Expiration Date],"ERROR")</f>
        <v>46550</v>
      </c>
      <c r="D63" s="3" t="str">
        <f>_xlfn.XLOOKUP(ACP4LALBNorth[[#This Row],[OSRO Name]],ACP4LALBNorth26[OSRO Name],ACP4LALBNorth26[Environmental Sensitive Site Protection],"ERROR")</f>
        <v>GRA - 6 &amp; 7</v>
      </c>
      <c r="E63" s="3" t="str">
        <f>_xlfn.XLOOKUP(ACP4LALBNorth[[#This Row],[OSRO Name]],ACP4LALBNorth26[OSRO Name],ACP4LALBNorth26[GRA 1, 2, &amp; 4
San Luis Obispo],"ERROR")</f>
        <v>24+ Hr.</v>
      </c>
      <c r="F63" s="4" t="str">
        <f>_xlfn.XLOOKUP(ACP4LALBNorth[[#This Row],[OSRO Name]],ACP4LALBNorth26[OSRO Name],ACP4LALBNorth26[GRA 5 &amp; 6
Santa Barbara],"ERROR")</f>
        <v>0*, 1*, &amp; 2+ Hr.</v>
      </c>
      <c r="G63" s="4" t="str">
        <f>_xlfn.XLOOKUP(ACP4LALBNorth[[#This Row],[OSRO Name]],ACP4LALBNorth26[OSRO Name],ACP4LALBNorth26[GRA 7
Port Hueneme ],"ERROR")</f>
        <v>0*, 1*, &amp; 2+ Hr.</v>
      </c>
      <c r="H63" s="12" t="str">
        <f>_xlfn.XLOOKUP(ACP4LALBNorth[[#This Row],[OSRO Name]],ACP4LALBNorth26[OSRO Name],ACP4LALBNorth26[GRA 8
Channel Islands],"ERROR")</f>
        <v>--</v>
      </c>
      <c r="I63" s="45"/>
      <c r="J63" s="45"/>
    </row>
    <row r="64" spans="1:10" ht="15.5" x14ac:dyDescent="0.35">
      <c r="A64" s="45"/>
      <c r="B64" s="26" t="s">
        <v>22</v>
      </c>
      <c r="C64" s="5">
        <f>_xlfn.XLOOKUP(ACP4LALBNorth[[#This Row],[OSRO Name]],ACP4LALBNorth26[OSRO Name],ACP4LALBNorth26[Expiration Date],"ERROR")</f>
        <v>47273</v>
      </c>
      <c r="D64" s="4" t="str">
        <f>_xlfn.XLOOKUP(ACP4LALBNorth[[#This Row],[OSRO Name]],ACP4LALBNorth26[OSRO Name],ACP4LALBNorth26[Environmental Sensitive Site Protection],"ERROR")</f>
        <v>GRA - 1 through 8</v>
      </c>
      <c r="E64" s="3" t="str">
        <f>_xlfn.XLOOKUP(ACP4LALBNorth[[#This Row],[OSRO Name]],ACP4LALBNorth26[OSRO Name],ACP4LALBNorth26[GRA 1, 2, &amp; 4
San Luis Obispo],"ERROR")</f>
        <v>24+ Hr.</v>
      </c>
      <c r="F64" s="4" t="str">
        <f>_xlfn.XLOOKUP(ACP4LALBNorth[[#This Row],[OSRO Name]],ACP4LALBNorth26[OSRO Name],ACP4LALBNorth26[GRA 5 &amp; 6
Santa Barbara],"ERROR")</f>
        <v xml:space="preserve">0*, 1*, &amp; 2+ Hr. </v>
      </c>
      <c r="G64" s="4" t="str">
        <f>_xlfn.XLOOKUP(ACP4LALBNorth[[#This Row],[OSRO Name]],ACP4LALBNorth26[OSRO Name],ACP4LALBNorth26[GRA 7
Port Hueneme ],"ERROR")</f>
        <v xml:space="preserve">0*, 1*, &amp; 2+ Hr. </v>
      </c>
      <c r="H64" s="4" t="str">
        <f>_xlfn.XLOOKUP(ACP4LALBNorth[[#This Row],[OSRO Name]],ACP4LALBNorth26[OSRO Name],ACP4LALBNorth26[GRA 8
Channel Islands],"ERROR")</f>
        <v xml:space="preserve">0*, 1*, &amp; 2+ Hr. </v>
      </c>
      <c r="I64" s="45"/>
      <c r="J64" s="45"/>
    </row>
    <row r="65" spans="1:10" ht="15.5" hidden="1" x14ac:dyDescent="0.35">
      <c r="A65" s="45"/>
      <c r="B65" s="26" t="s">
        <v>23</v>
      </c>
      <c r="C65" s="5">
        <f>_xlfn.XLOOKUP(ACP4LALBNorth[[#This Row],[OSRO Name]],ACP4LALBNorth26[OSRO Name],ACP4LALBNorth26[Expiration Date],"ERROR")</f>
        <v>45338</v>
      </c>
      <c r="D65" s="12" t="str">
        <f>_xlfn.XLOOKUP(ACP4LALBNorth[[#This Row],[OSRO Name]],ACP4LALBNorth26[OSRO Name],ACP4LALBNorth26[Environmental Sensitive Site Protection],"ERROR")</f>
        <v>--</v>
      </c>
      <c r="E65" s="12" t="str">
        <f>_xlfn.XLOOKUP(ACP4LALBNorth[[#This Row],[OSRO Name]],ACP4LALBNorth26[OSRO Name],ACP4LALBNorth26[GRA 1, 2, &amp; 4
San Luis Obispo],"ERROR")</f>
        <v>--</v>
      </c>
      <c r="F65" s="12" t="str">
        <f>_xlfn.XLOOKUP(ACP4LALBNorth[[#This Row],[OSRO Name]],ACP4LALBNorth26[OSRO Name],ACP4LALBNorth26[GRA 5 &amp; 6
Santa Barbara],"ERROR")</f>
        <v>--</v>
      </c>
      <c r="G65" s="12" t="str">
        <f>_xlfn.XLOOKUP(ACP4LALBNorth[[#This Row],[OSRO Name]],ACP4LALBNorth26[OSRO Name],ACP4LALBNorth26[GRA 7
Port Hueneme ],"ERROR")</f>
        <v>--</v>
      </c>
      <c r="H65" s="12" t="str">
        <f>_xlfn.XLOOKUP(ACP4LALBNorth[[#This Row],[OSRO Name]],ACP4LALBNorth26[OSRO Name],ACP4LALBNorth26[GRA 8
Channel Islands],"ERROR")</f>
        <v>--</v>
      </c>
      <c r="I65" s="45"/>
      <c r="J65" s="45"/>
    </row>
    <row r="66" spans="1:10" ht="15.5" x14ac:dyDescent="0.35">
      <c r="A66" s="45"/>
      <c r="B66" s="26" t="s">
        <v>24</v>
      </c>
      <c r="C66" s="5">
        <f>_xlfn.XLOOKUP(ACP4LALBNorth[[#This Row],[OSRO Name]],ACP4LALBNorth26[OSRO Name],ACP4LALBNorth26[Expiration Date],"ERROR")</f>
        <v>46286</v>
      </c>
      <c r="D66" s="4" t="str">
        <f>_xlfn.XLOOKUP(ACP4LALBNorth[[#This Row],[OSRO Name]],ACP4LALBNorth26[OSRO Name],ACP4LALBNorth26[Environmental Sensitive Site Protection],"ERROR")</f>
        <v>GRA - 1* through 7*</v>
      </c>
      <c r="E66" s="4" t="str">
        <f>_xlfn.XLOOKUP(ACP4LALBNorth[[#This Row],[OSRO Name]],ACP4LALBNorth26[OSRO Name],ACP4LALBNorth26[GRA 1, 2, &amp; 4
San Luis Obispo],"ERROR")</f>
        <v>0*,1* &amp; 6+ Hr</v>
      </c>
      <c r="F66" s="4" t="str">
        <f>_xlfn.XLOOKUP(ACP4LALBNorth[[#This Row],[OSRO Name]],ACP4LALBNorth26[OSRO Name],ACP4LALBNorth26[GRA 5 &amp; 6
Santa Barbara],"ERROR")</f>
        <v>0*,1* &amp; 6+ Hr</v>
      </c>
      <c r="G66" s="4" t="str">
        <f>_xlfn.XLOOKUP(ACP4LALBNorth[[#This Row],[OSRO Name]],ACP4LALBNorth26[OSRO Name],ACP4LALBNorth26[GRA 7
Port Hueneme ],"ERROR")</f>
        <v>0*,1* &amp; 6+ Hr</v>
      </c>
      <c r="H66" s="12" t="str">
        <f>_xlfn.XLOOKUP(ACP4LALBNorth[[#This Row],[OSRO Name]],ACP4LALBNorth26[OSRO Name],ACP4LALBNorth26[GRA 8
Channel Islands],"ERROR")</f>
        <v>0*,1* &amp; 6+ Hr</v>
      </c>
      <c r="I66" s="45"/>
      <c r="J66" s="45"/>
    </row>
    <row r="67" spans="1:10" ht="15.5" x14ac:dyDescent="0.35">
      <c r="A67" s="45"/>
      <c r="B67" s="26" t="s">
        <v>25</v>
      </c>
      <c r="C67" s="1">
        <f>_xlfn.XLOOKUP(ACP4LALBNorth[[#This Row],[OSRO Name]],ACP4LALBNorth26[OSRO Name],ACP4LALBNorth26[Expiration Date],"ERROR")</f>
        <v>46550</v>
      </c>
      <c r="D67" s="12" t="str">
        <f>_xlfn.XLOOKUP(ACP4LALBNorth[[#This Row],[OSRO Name]],ACP4LALBNorth26[OSRO Name],ACP4LALBNorth26[Environmental Sensitive Site Protection],"ERROR")</f>
        <v>GRA 5, 6 &amp; 7</v>
      </c>
      <c r="E67" s="12" t="str">
        <f>_xlfn.XLOOKUP(ACP4LALBNorth[[#This Row],[OSRO Name]],ACP4LALBNorth26[OSRO Name],ACP4LALBNorth26[GRA 1, 2, &amp; 4
San Luis Obispo],"ERROR")</f>
        <v>--</v>
      </c>
      <c r="F67" s="12" t="str">
        <f>_xlfn.XLOOKUP(ACP4LALBNorth[[#This Row],[OSRO Name]],ACP4LALBNorth26[OSRO Name],ACP4LALBNorth26[GRA 5 &amp; 6
Santa Barbara],"ERROR")</f>
        <v>--</v>
      </c>
      <c r="G67" s="2" t="str">
        <f>_xlfn.XLOOKUP(ACP4LALBNorth[[#This Row],[OSRO Name]],ACP4LALBNorth26[OSRO Name],ACP4LALBNorth26[GRA 7
Port Hueneme ],"ERROR")</f>
        <v>2-Hr, 4 &amp; 6 Hr modified</v>
      </c>
      <c r="H67" s="12" t="str">
        <f>_xlfn.XLOOKUP(ACP4LALBNorth[[#This Row],[OSRO Name]],ACP4LALBNorth26[OSRO Name],ACP4LALBNorth26[GRA 8
Channel Islands],"ERROR")</f>
        <v>--</v>
      </c>
      <c r="I67" s="45"/>
      <c r="J67" s="45"/>
    </row>
    <row r="68" spans="1:10" ht="15.5" hidden="1" x14ac:dyDescent="0.35">
      <c r="A68" s="45"/>
      <c r="B68" s="26" t="s">
        <v>26</v>
      </c>
      <c r="C68" s="5" t="str">
        <f>_xlfn.XLOOKUP(ACP4LALBNorth[[#This Row],[OSRO Name]],ACP4LALBNorth26[OSRO Name],ACP4LALBNorth26[Expiration Date],"ERROR")</f>
        <v>Expired</v>
      </c>
      <c r="D68" s="12" t="str">
        <f>_xlfn.XLOOKUP(ACP4LALBNorth[[#This Row],[OSRO Name]],ACP4LALBNorth26[OSRO Name],ACP4LALBNorth26[Environmental Sensitive Site Protection],"ERROR")</f>
        <v>--</v>
      </c>
      <c r="E68" s="12" t="str">
        <f>_xlfn.XLOOKUP(ACP4LALBNorth[[#This Row],[OSRO Name]],ACP4LALBNorth26[OSRO Name],ACP4LALBNorth26[GRA 1, 2, &amp; 4
San Luis Obispo],"ERROR")</f>
        <v>--</v>
      </c>
      <c r="F68" s="12" t="str">
        <f>_xlfn.XLOOKUP(ACP4LALBNorth[[#This Row],[OSRO Name]],ACP4LALBNorth26[OSRO Name],ACP4LALBNorth26[GRA 5 &amp; 6
Santa Barbara],"ERROR")</f>
        <v>--</v>
      </c>
      <c r="G68" s="12" t="str">
        <f>_xlfn.XLOOKUP(ACP4LALBNorth[[#This Row],[OSRO Name]],ACP4LALBNorth26[OSRO Name],ACP4LALBNorth26[GRA 7
Port Hueneme ],"ERROR")</f>
        <v>--</v>
      </c>
      <c r="H68" s="12" t="str">
        <f>_xlfn.XLOOKUP(ACP4LALBNorth[[#This Row],[OSRO Name]],ACP4LALBNorth26[OSRO Name],ACP4LALBNorth26[GRA 8
Channel Islands],"ERROR")</f>
        <v>--</v>
      </c>
      <c r="I68" s="45"/>
      <c r="J68" s="45"/>
    </row>
    <row r="69" spans="1:10" ht="15.5" hidden="1" x14ac:dyDescent="0.35">
      <c r="A69" s="45"/>
      <c r="B69" s="26" t="s">
        <v>27</v>
      </c>
      <c r="C69" s="5">
        <f>_xlfn.XLOOKUP(ACP4LALBNorth[[#This Row],[OSRO Name]],ACP4LALBNorth26[OSRO Name],ACP4LALBNorth26[Expiration Date],"ERROR")</f>
        <v>46557</v>
      </c>
      <c r="D69" s="12" t="str">
        <f>_xlfn.XLOOKUP(ACP4LALBNorth[[#This Row],[OSRO Name]],ACP4LALBNorth26[OSRO Name],ACP4LALBNorth26[Environmental Sensitive Site Protection],"ERROR")</f>
        <v>--</v>
      </c>
      <c r="E69" s="12" t="str">
        <f>_xlfn.XLOOKUP(ACP4LALBNorth[[#This Row],[OSRO Name]],ACP4LALBNorth26[OSRO Name],ACP4LALBNorth26[GRA 1, 2, &amp; 4
San Luis Obispo],"ERROR")</f>
        <v>--</v>
      </c>
      <c r="F69" s="12" t="str">
        <f>_xlfn.XLOOKUP(ACP4LALBNorth[[#This Row],[OSRO Name]],ACP4LALBNorth26[OSRO Name],ACP4LALBNorth26[GRA 5 &amp; 6
Santa Barbara],"ERROR")</f>
        <v>--</v>
      </c>
      <c r="G69" s="12" t="str">
        <f>_xlfn.XLOOKUP(ACP4LALBNorth[[#This Row],[OSRO Name]],ACP4LALBNorth26[OSRO Name],ACP4LALBNorth26[GRA 7
Port Hueneme ],"ERROR")</f>
        <v>--</v>
      </c>
      <c r="H69" s="12" t="str">
        <f>_xlfn.XLOOKUP(ACP4LALBNorth[[#This Row],[OSRO Name]],ACP4LALBNorth26[OSRO Name],ACP4LALBNorth26[GRA 8
Channel Islands],"ERROR")</f>
        <v>--</v>
      </c>
      <c r="I69" s="45"/>
      <c r="J69" s="45"/>
    </row>
    <row r="70" spans="1:10" ht="15.5" x14ac:dyDescent="0.35">
      <c r="A70" s="45"/>
      <c r="B70" s="46"/>
      <c r="C70" s="47"/>
      <c r="D70" s="48"/>
      <c r="E70" s="48"/>
      <c r="F70" s="48"/>
      <c r="G70" s="48"/>
      <c r="H70" s="48"/>
      <c r="I70" s="45"/>
      <c r="J70" s="45"/>
    </row>
    <row r="71" spans="1:10" x14ac:dyDescent="0.35">
      <c r="A71" s="45"/>
      <c r="B71" s="45"/>
      <c r="C71" s="45"/>
      <c r="D71" s="45"/>
      <c r="E71" s="45"/>
      <c r="F71" s="45"/>
      <c r="G71" s="45"/>
      <c r="H71" s="45"/>
      <c r="I71" s="45"/>
      <c r="J71" s="45"/>
    </row>
    <row r="72" spans="1:10" ht="18.5" x14ac:dyDescent="0.35">
      <c r="A72" s="45"/>
      <c r="B72" s="118" t="s">
        <v>52</v>
      </c>
      <c r="C72" s="119"/>
      <c r="D72" s="119"/>
      <c r="E72" s="119"/>
      <c r="F72" s="119"/>
      <c r="G72" s="120"/>
      <c r="H72" s="45"/>
      <c r="I72" s="45"/>
      <c r="J72" s="45"/>
    </row>
    <row r="73" spans="1:10" ht="46.5" x14ac:dyDescent="0.35">
      <c r="A73" s="45"/>
      <c r="B73" s="24" t="s">
        <v>12</v>
      </c>
      <c r="C73" s="25" t="s">
        <v>13</v>
      </c>
      <c r="D73" s="25" t="s">
        <v>14</v>
      </c>
      <c r="E73" s="25" t="s">
        <v>53</v>
      </c>
      <c r="F73" s="25" t="s">
        <v>54</v>
      </c>
      <c r="G73" s="25" t="s">
        <v>55</v>
      </c>
      <c r="H73" s="45"/>
      <c r="I73" s="45"/>
      <c r="J73" s="45"/>
    </row>
    <row r="74" spans="1:10" ht="15.5" x14ac:dyDescent="0.35">
      <c r="A74" s="45"/>
      <c r="B74" s="27" t="s">
        <v>51</v>
      </c>
      <c r="C74" s="5">
        <f>ACP5LALBSouth27[[#This Row],[Expiration Date]]</f>
        <v>47007</v>
      </c>
      <c r="D74" s="3" t="str">
        <f>_xlfn.XLOOKUP(ACP5LALBSouth[[#This Row],[OSRO Name]],ACP5LALBSouth27[OSRO Name],ACP5LALBSouth27[Environmental Sensitive Site Protection],"ERROR")</f>
        <v>GRA - 1 &amp; 2</v>
      </c>
      <c r="E74" s="4" t="str">
        <f>_xlfn.XLOOKUP(ACP5LALBSouth[[#This Row],[OSRO Name]],ACP5LALBSouth27[OSRO Name],ACP5LALBSouth27[GRA 1 &amp; 2
L.A. County],"ERROR")</f>
        <v>0*, 1* &amp; 2 Hr.</v>
      </c>
      <c r="F74" s="12" t="str">
        <f>_xlfn.XLOOKUP(ACP5LALBSouth[[#This Row],[OSRO Name]],ACP5LALBSouth27[OSRO Name],ACP5LALBSouth27[GRA 3
Orange County],"ERROR")</f>
        <v>0*, 1* &amp; 2 Hr.</v>
      </c>
      <c r="G74" s="12" t="str">
        <f>_xlfn.XLOOKUP(ACP5LALBSouth[[#This Row],[OSRO Name]],ACP5LALBSouth27[OSRO Name],ACP5LALBSouth27[GRA 4
Los Angeles &amp; Ventura Counties],"ERROR")</f>
        <v>--</v>
      </c>
      <c r="H74" s="45"/>
      <c r="I74" s="45"/>
      <c r="J74" s="45"/>
    </row>
    <row r="75" spans="1:10" ht="15.5" hidden="1" x14ac:dyDescent="0.35">
      <c r="A75" s="45"/>
      <c r="B75" s="27" t="s">
        <v>19</v>
      </c>
      <c r="C75" s="5">
        <f>_xlfn.XLOOKUP(ACP5LALBSouth[[#This Row],[OSRO Name]],ACP5LALBSouth27[OSRO Name],ACP5LALBSouth27[Expiration Date],"ERROR")</f>
        <v>46451</v>
      </c>
      <c r="D75" s="12" t="str">
        <f>_xlfn.XLOOKUP(ACP5LALBSouth[[#This Row],[OSRO Name]],ACP5LALBSouth27[OSRO Name],ACP5LALBSouth27[Environmental Sensitive Site Protection],"ERROR")</f>
        <v>--</v>
      </c>
      <c r="E75" s="12" t="str">
        <f>_xlfn.XLOOKUP(ACP5LALBSouth[[#This Row],[OSRO Name]],ACP5LALBSouth27[OSRO Name],ACP5LALBSouth27[GRA 1 &amp; 2
L.A. County],"ERROR")</f>
        <v>--</v>
      </c>
      <c r="F75" s="12" t="str">
        <f>_xlfn.XLOOKUP(ACP5LALBSouth[[#This Row],[OSRO Name]],ACP5LALBSouth27[OSRO Name],ACP5LALBSouth27[GRA 3
Orange County],"ERROR")</f>
        <v>--</v>
      </c>
      <c r="G75" s="12" t="str">
        <f>_xlfn.XLOOKUP(ACP5LALBSouth[[#This Row],[OSRO Name]],ACP5LALBSouth27[OSRO Name],ACP5LALBSouth27[GRA 4
Los Angeles &amp; Ventura Counties],"ERROR")</f>
        <v>--</v>
      </c>
      <c r="H75" s="45"/>
      <c r="I75" s="45"/>
      <c r="J75" s="45"/>
    </row>
    <row r="76" spans="1:10" ht="15.5" hidden="1" x14ac:dyDescent="0.35">
      <c r="A76" s="45"/>
      <c r="B76" s="27" t="s">
        <v>20</v>
      </c>
      <c r="C76" s="5">
        <f>_xlfn.XLOOKUP(ACP5LALBSouth[[#This Row],[OSRO Name]],ACP5LALBSouth27[OSRO Name],ACP5LALBSouth27[Expiration Date],"ERROR")</f>
        <v>46256</v>
      </c>
      <c r="D76" s="12" t="str">
        <f>_xlfn.XLOOKUP(ACP5LALBSouth[[#This Row],[OSRO Name]],ACP5LALBSouth27[OSRO Name],ACP5LALBSouth27[Environmental Sensitive Site Protection],"ERROR")</f>
        <v>--</v>
      </c>
      <c r="E76" s="12" t="str">
        <f>_xlfn.XLOOKUP(ACP5LALBSouth[[#This Row],[OSRO Name]],ACP5LALBSouth27[OSRO Name],ACP5LALBSouth27[GRA 1 &amp; 2
L.A. County],"ERROR")</f>
        <v>--</v>
      </c>
      <c r="F76" s="12" t="str">
        <f>_xlfn.XLOOKUP(ACP5LALBSouth[[#This Row],[OSRO Name]],ACP5LALBSouth27[OSRO Name],ACP5LALBSouth27[GRA 3
Orange County],"ERROR")</f>
        <v>--</v>
      </c>
      <c r="G76" s="12" t="str">
        <f>_xlfn.XLOOKUP(ACP5LALBSouth[[#This Row],[OSRO Name]],ACP5LALBSouth27[OSRO Name],ACP5LALBSouth27[GRA 4
Los Angeles &amp; Ventura Counties],"ERROR")</f>
        <v>--</v>
      </c>
      <c r="H76" s="45"/>
      <c r="I76" s="45"/>
      <c r="J76" s="45"/>
    </row>
    <row r="77" spans="1:10" ht="15.5" x14ac:dyDescent="0.35">
      <c r="A77" s="45"/>
      <c r="B77" s="38" t="s">
        <v>21</v>
      </c>
      <c r="C77" s="1">
        <f>_xlfn.XLOOKUP(ACP5LALBSouth[[#This Row],[OSRO Name]],ACP5LALBSouth27[OSRO Name],ACP5LALBSouth27[Expiration Date],"ERROR")</f>
        <v>46550</v>
      </c>
      <c r="D77" s="3" t="str">
        <f>_xlfn.XLOOKUP(ACP5LALBSouth[[#This Row],[OSRO Name]],ACP5LALBSouth27[OSRO Name],ACP5LALBSouth27[Environmental Sensitive Site Protection],"ERROR")</f>
        <v>GRA - 1 Through 4</v>
      </c>
      <c r="E77" s="4" t="str">
        <f>_xlfn.XLOOKUP(ACP5LALBSouth[[#This Row],[OSRO Name]],ACP5LALBSouth27[OSRO Name],ACP5LALBSouth27[GRA 1 &amp; 2
L.A. County],"ERROR")</f>
        <v xml:space="preserve">0*, 1*, &amp; 2+ Hr. </v>
      </c>
      <c r="F77" s="4" t="str">
        <f>_xlfn.XLOOKUP(ACP5LALBSouth[[#This Row],[OSRO Name]],ACP5LALBSouth27[OSRO Name],ACP5LALBSouth27[GRA 3
Orange County],"ERROR")</f>
        <v xml:space="preserve">0*, 1*, &amp; 2+ Hr. </v>
      </c>
      <c r="G77" s="4" t="str">
        <f>_xlfn.XLOOKUP(ACP5LALBSouth[[#This Row],[OSRO Name]],ACP5LALBSouth27[OSRO Name],ACP5LALBSouth27[GRA 4
Los Angeles &amp; Ventura Counties],"ERROR")</f>
        <v xml:space="preserve">0*, 1*, &amp; 2+ Hr. </v>
      </c>
      <c r="H77" s="45"/>
      <c r="I77" s="45"/>
      <c r="J77" s="45"/>
    </row>
    <row r="78" spans="1:10" ht="15.5" x14ac:dyDescent="0.35">
      <c r="A78" s="45"/>
      <c r="B78" s="27" t="s">
        <v>22</v>
      </c>
      <c r="C78" s="5">
        <f>_xlfn.XLOOKUP(ACP5LALBSouth[[#This Row],[OSRO Name]],ACP5LALBSouth27[OSRO Name],ACP5LALBSouth27[Expiration Date],"ERROR")</f>
        <v>47273</v>
      </c>
      <c r="D78" s="3" t="str">
        <f>_xlfn.XLOOKUP(ACP5LALBSouth[[#This Row],[OSRO Name]],ACP5LALBSouth27[OSRO Name],ACP5LALBSouth27[Environmental Sensitive Site Protection],"ERROR")</f>
        <v>GRA - 1 Through 4</v>
      </c>
      <c r="E78" s="4" t="str">
        <f>_xlfn.XLOOKUP(ACP5LALBSouth[[#This Row],[OSRO Name]],ACP5LALBSouth27[OSRO Name],ACP5LALBSouth27[GRA 1 &amp; 2
L.A. County],"ERROR")</f>
        <v xml:space="preserve">0*, 1*, &amp; 2+ Hr. </v>
      </c>
      <c r="F78" s="4" t="str">
        <f>_xlfn.XLOOKUP(ACP5LALBSouth[[#This Row],[OSRO Name]],ACP5LALBSouth27[OSRO Name],ACP5LALBSouth27[GRA 3
Orange County],"ERROR")</f>
        <v xml:space="preserve">0*, 1*, &amp; 2+ Hr. </v>
      </c>
      <c r="G78" s="4" t="str">
        <f>_xlfn.XLOOKUP(ACP5LALBSouth[[#This Row],[OSRO Name]],ACP5LALBSouth27[OSRO Name],ACP5LALBSouth27[GRA 4
Los Angeles &amp; Ventura Counties],"ERROR")</f>
        <v>24+ Hr.</v>
      </c>
      <c r="H78" s="45"/>
      <c r="I78" s="45"/>
      <c r="J78" s="45"/>
    </row>
    <row r="79" spans="1:10" ht="15.5" hidden="1" x14ac:dyDescent="0.35">
      <c r="A79" s="45"/>
      <c r="B79" s="27" t="s">
        <v>23</v>
      </c>
      <c r="C79" s="5">
        <f>_xlfn.XLOOKUP(ACP5LALBSouth[[#This Row],[OSRO Name]],ACP5LALBSouth27[OSRO Name],ACP5LALBSouth27[Expiration Date],"ERROR")</f>
        <v>45338</v>
      </c>
      <c r="D79" s="4" t="str">
        <f>_xlfn.XLOOKUP(ACP5LALBSouth[[#This Row],[OSRO Name]],ACP5LALBSouth27[OSRO Name],ACP5LALBSouth27[Environmental Sensitive Site Protection],"ERROR")</f>
        <v>GRA - 1* through 4* (12-Hr)</v>
      </c>
      <c r="E79" s="7" t="str">
        <f>_xlfn.XLOOKUP(ACP5LALBSouth[[#This Row],[OSRO Name]],ACP5LALBSouth27[OSRO Name],ACP5LALBSouth27[GRA 1 &amp; 2
L.A. County],"ERROR")</f>
        <v>2-Hr &amp; 4-Hr Modified</v>
      </c>
      <c r="F79" s="7" t="str">
        <f>_xlfn.XLOOKUP(ACP5LALBSouth[[#This Row],[OSRO Name]],ACP5LALBSouth27[OSRO Name],ACP5LALBSouth27[GRA 3
Orange County],"ERROR")</f>
        <v>2-Hr &amp; 4-Hr Modified</v>
      </c>
      <c r="G79" s="12" t="str">
        <f>_xlfn.XLOOKUP(ACP5LALBSouth[[#This Row],[OSRO Name]],ACP5LALBSouth27[OSRO Name],ACP5LALBSouth27[GRA 4
Los Angeles &amp; Ventura Counties],"ERROR")</f>
        <v>--</v>
      </c>
      <c r="H79" s="45"/>
      <c r="I79" s="45"/>
      <c r="J79" s="45"/>
    </row>
    <row r="80" spans="1:10" ht="15.5" x14ac:dyDescent="0.35">
      <c r="A80" s="45"/>
      <c r="B80" s="27" t="s">
        <v>24</v>
      </c>
      <c r="C80" s="5">
        <f>_xlfn.XLOOKUP(ACP5LALBSouth[[#This Row],[OSRO Name]],ACP5LALBSouth27[OSRO Name],ACP5LALBSouth27[Expiration Date],"ERROR")</f>
        <v>46286</v>
      </c>
      <c r="D80" s="4" t="str">
        <f>_xlfn.XLOOKUP(ACP5LALBSouth[[#This Row],[OSRO Name]],ACP5LALBSouth27[OSRO Name],ACP5LALBSouth27[Environmental Sensitive Site Protection],"ERROR")</f>
        <v>GRA - 1* through 3* (12-Hr)</v>
      </c>
      <c r="E80" s="4" t="str">
        <f>_xlfn.XLOOKUP(ACP5LALBSouth[[#This Row],[OSRO Name]],ACP5LALBSouth27[OSRO Name],ACP5LALBSouth27[GRA 1 &amp; 2
L.A. County],"ERROR")</f>
        <v xml:space="preserve">0*, 1*, &amp; 2+ Hr. </v>
      </c>
      <c r="F80" s="4" t="str">
        <f>_xlfn.XLOOKUP(ACP5LALBSouth[[#This Row],[OSRO Name]],ACP5LALBSouth27[OSRO Name],ACP5LALBSouth27[GRA 3
Orange County],"ERROR")</f>
        <v xml:space="preserve">0*, 1*, &amp; 2+ Hr. </v>
      </c>
      <c r="G80" s="12" t="str">
        <f>_xlfn.XLOOKUP(ACP5LALBSouth[[#This Row],[OSRO Name]],ACP5LALBSouth27[OSRO Name],ACP5LALBSouth27[GRA 4
Los Angeles &amp; Ventura Counties],"ERROR")</f>
        <v xml:space="preserve">0*, 1*, &amp; 2+ Hr. </v>
      </c>
      <c r="H80" s="45"/>
      <c r="I80" s="45"/>
      <c r="J80" s="45"/>
    </row>
    <row r="81" spans="1:10" ht="29" x14ac:dyDescent="0.35">
      <c r="A81" s="45"/>
      <c r="B81" s="39" t="s">
        <v>25</v>
      </c>
      <c r="C81" s="1">
        <f>_xlfn.XLOOKUP(ACP5LALBSouth[[#This Row],[OSRO Name]],ACP5LALBSouth27[OSRO Name],ACP5LALBSouth27[Expiration Date],"ERROR")</f>
        <v>46550</v>
      </c>
      <c r="D81" s="12" t="str">
        <f>_xlfn.XLOOKUP(ACP5LALBSouth[[#This Row],[OSRO Name]],ACP5LALBSouth27[OSRO Name],ACP5LALBSouth27[Environmental Sensitive Site Protection],"ERROR")</f>
        <v>GRA - 1 through 4</v>
      </c>
      <c r="E81" s="2" t="str">
        <f>_xlfn.XLOOKUP(ACP5LALBSouth[[#This Row],[OSRO Name]],ACP5LALBSouth27[OSRO Name],ACP5LALBSouth27[GRA 1 &amp; 2
L.A. County],"ERROR")</f>
        <v>0*, 2-Hr &amp; 4-Hr Modified</v>
      </c>
      <c r="F81" s="2" t="str">
        <f>_xlfn.XLOOKUP(ACP5LALBSouth[[#This Row],[OSRO Name]],ACP5LALBSouth27[OSRO Name],ACP5LALBSouth27[GRA 3
Orange County],"ERROR")</f>
        <v>0*, 2-Hr &amp; 4-Hr Modified</v>
      </c>
      <c r="G81" s="2" t="str">
        <f>_xlfn.XLOOKUP(ACP5LALBSouth[[#This Row],[OSRO Name]],ACP5LALBSouth27[OSRO Name],ACP5LALBSouth27[GRA 4
Los Angeles &amp; Ventura Counties],"ERROR")</f>
        <v>0*, 2-Hr &amp; 4-Hr Modified</v>
      </c>
      <c r="H81" s="45"/>
      <c r="I81" s="45"/>
      <c r="J81" s="45"/>
    </row>
    <row r="82" spans="1:10" ht="15.5" hidden="1" x14ac:dyDescent="0.35">
      <c r="A82" s="45"/>
      <c r="B82" s="27" t="s">
        <v>26</v>
      </c>
      <c r="C82" s="5" t="str">
        <f>_xlfn.XLOOKUP(ACP5LALBSouth[[#This Row],[OSRO Name]],ACP5LALBSouth27[OSRO Name],ACP5LALBSouth27[Expiration Date],"ERROR")</f>
        <v>Expired</v>
      </c>
      <c r="D82" s="12" t="str">
        <f>_xlfn.XLOOKUP(ACP5LALBSouth[[#This Row],[OSRO Name]],ACP5LALBSouth27[OSRO Name],ACP5LALBSouth27[Environmental Sensitive Site Protection],"ERROR")</f>
        <v>--</v>
      </c>
      <c r="E82" s="4" t="str">
        <f>_xlfn.XLOOKUP(ACP5LALBSouth[[#This Row],[OSRO Name]],ACP5LALBSouth27[OSRO Name],ACP5LALBSouth27[GRA 1 &amp; 2
L.A. County],"ERROR")</f>
        <v>2-Hr Modified</v>
      </c>
      <c r="F82" s="4" t="str">
        <f>_xlfn.XLOOKUP(ACP5LALBSouth[[#This Row],[OSRO Name]],ACP5LALBSouth27[OSRO Name],ACP5LALBSouth27[GRA 3
Orange County],"ERROR")</f>
        <v>2-Hr Modified</v>
      </c>
      <c r="G82" s="12" t="str">
        <f>_xlfn.XLOOKUP(ACP5LALBSouth[[#This Row],[OSRO Name]],ACP5LALBSouth27[OSRO Name],ACP5LALBSouth27[GRA 4
Los Angeles &amp; Ventura Counties],"ERROR")</f>
        <v>--</v>
      </c>
      <c r="H82" s="45"/>
      <c r="I82" s="45"/>
      <c r="J82" s="45"/>
    </row>
    <row r="83" spans="1:10" ht="15.5" x14ac:dyDescent="0.35">
      <c r="A83" s="45"/>
      <c r="B83" s="27" t="s">
        <v>27</v>
      </c>
      <c r="C83" s="5">
        <f>_xlfn.XLOOKUP(ACP5LALBSouth[[#This Row],[OSRO Name]],ACP5LALBSouth27[OSRO Name],ACP5LALBSouth27[Expiration Date],"ERROR")</f>
        <v>46557</v>
      </c>
      <c r="D83" s="7" t="str">
        <f>_xlfn.XLOOKUP(ACP5LALBSouth[[#This Row],[OSRO Name]],ACP5LALBSouth27[OSRO Name],ACP5LALBSouth27[Environmental Sensitive Site Protection],"ERROR")</f>
        <v>GRA - 1* through 4* (12-Hr)</v>
      </c>
      <c r="E83" s="7" t="str">
        <f>_xlfn.XLOOKUP(ACP5LALBSouth[[#This Row],[OSRO Name]],ACP5LALBSouth27[OSRO Name],ACP5LALBSouth27[GRA 1 &amp; 2
L.A. County],"ERROR")</f>
        <v>2-Hr, 4-Hr Modified</v>
      </c>
      <c r="F83" s="12" t="str">
        <f>_xlfn.XLOOKUP(ACP5LALBSouth[[#This Row],[OSRO Name]],ACP5LALBSouth27[OSRO Name],ACP5LALBSouth27[GRA 3
Orange County],"ERROR")</f>
        <v>--</v>
      </c>
      <c r="G83" s="12" t="str">
        <f>_xlfn.XLOOKUP(ACP5LALBSouth[[#This Row],[OSRO Name]],ACP5LALBSouth27[OSRO Name],ACP5LALBSouth27[GRA 4
Los Angeles &amp; Ventura Counties],"ERROR")</f>
        <v>--</v>
      </c>
      <c r="H83" s="45"/>
      <c r="I83" s="45"/>
      <c r="J83" s="45"/>
    </row>
    <row r="84" spans="1:10" ht="15.5" x14ac:dyDescent="0.35">
      <c r="A84" s="45"/>
      <c r="B84" s="51"/>
      <c r="C84" s="47"/>
      <c r="D84" s="52"/>
      <c r="E84" s="52"/>
      <c r="F84" s="48"/>
      <c r="G84" s="48"/>
      <c r="H84" s="45"/>
      <c r="I84" s="45"/>
      <c r="J84" s="45"/>
    </row>
    <row r="85" spans="1:10" x14ac:dyDescent="0.35">
      <c r="A85" s="45"/>
      <c r="B85" s="45"/>
      <c r="C85" s="45"/>
      <c r="D85" s="45"/>
      <c r="E85" s="45"/>
      <c r="F85" s="45"/>
      <c r="G85" s="45"/>
      <c r="H85" s="45"/>
      <c r="I85" s="45"/>
      <c r="J85" s="45"/>
    </row>
    <row r="86" spans="1:10" ht="18.5" x14ac:dyDescent="0.35">
      <c r="A86" s="45"/>
      <c r="B86" s="121" t="s">
        <v>56</v>
      </c>
      <c r="C86" s="122"/>
      <c r="D86" s="122"/>
      <c r="E86" s="122"/>
      <c r="F86" s="122"/>
      <c r="G86" s="122"/>
      <c r="H86" s="122"/>
      <c r="I86" s="123"/>
      <c r="J86" s="45"/>
    </row>
    <row r="87" spans="1:10" ht="46.5" x14ac:dyDescent="0.35">
      <c r="A87" s="45"/>
      <c r="B87" s="24" t="s">
        <v>12</v>
      </c>
      <c r="C87" s="25" t="s">
        <v>13</v>
      </c>
      <c r="D87" s="25" t="s">
        <v>14</v>
      </c>
      <c r="E87" s="25" t="s">
        <v>57</v>
      </c>
      <c r="F87" s="25" t="s">
        <v>58</v>
      </c>
      <c r="G87" s="25" t="s">
        <v>59</v>
      </c>
      <c r="H87" s="25" t="s">
        <v>60</v>
      </c>
      <c r="I87" s="25" t="s">
        <v>61</v>
      </c>
      <c r="J87" s="45"/>
    </row>
    <row r="88" spans="1:10" ht="15.5" hidden="1" x14ac:dyDescent="0.35">
      <c r="A88" s="45"/>
      <c r="B88" s="26" t="s">
        <v>19</v>
      </c>
      <c r="C88" s="5">
        <f>_xlfn.XLOOKUP(ACP6SanDiego[[#This Row],[OSRO Name]],ACP6SanDiego28[OSRO Name],ACP6SanDiego28[Expiration Date],"ERROR")</f>
        <v>46451</v>
      </c>
      <c r="D88" s="12" t="str">
        <f>_xlfn.XLOOKUP(ACP6SanDiego[[#This Row],[OSRO Name]],ACP6SanDiego28[OSRO Name],ACP6SanDiego28[Environemtal Sensitive Site Protection],"ERROR")</f>
        <v>--</v>
      </c>
      <c r="E88" s="12" t="str">
        <f>_xlfn.XLOOKUP(ACP6SanDiego[[#This Row],[OSRO Name]],ACP6SanDiego28[OSRO Name],ACP6SanDiego28[GRA 1
Camp Pendleton],"ERROR")</f>
        <v>--</v>
      </c>
      <c r="F88" s="5" t="str">
        <f>_xlfn.XLOOKUP(ACP6SanDiego[[#This Row],[OSRO Name]],ACP6SanDiego28[OSRO Name],ACP6SanDiego28[GRA 2
North San Diego County],"ERROR")</f>
        <v>--</v>
      </c>
      <c r="G88" s="12" t="str">
        <f>_xlfn.XLOOKUP(ACP6SanDiego[[#This Row],[OSRO Name]],ACP6SanDiego28[OSRO Name],ACP6SanDiego28[GRA 3
Central San Diego County ],"ERROR")</f>
        <v>--</v>
      </c>
      <c r="H88" s="12" t="str">
        <f>_xlfn.XLOOKUP(ACP6SanDiego[[#This Row],[OSRO Name]],ACP6SanDiego28[OSRO Name],ACP6SanDiego28[GRA 4
South San Diego County  ],"ERROR")</f>
        <v>--</v>
      </c>
      <c r="I88" s="5" t="str">
        <f>_xlfn.XLOOKUP(ACP6SanDiego[[#This Row],[OSRO Name]],ACP6SanDiego28[OSRO Name],ACP6SanDiego28[GRA 5
San Clemente Island],"ERROR")</f>
        <v>--</v>
      </c>
      <c r="J88" s="45"/>
    </row>
    <row r="89" spans="1:10" ht="15.5" hidden="1" x14ac:dyDescent="0.35">
      <c r="A89" s="45"/>
      <c r="B89" s="26" t="s">
        <v>20</v>
      </c>
      <c r="C89" s="5">
        <f>_xlfn.XLOOKUP(ACP6SanDiego[[#This Row],[OSRO Name]],ACP6SanDiego28[OSRO Name],ACP6SanDiego28[Expiration Date],"ERROR")</f>
        <v>46256</v>
      </c>
      <c r="D89" s="12" t="str">
        <f>_xlfn.XLOOKUP(ACP6SanDiego[[#This Row],[OSRO Name]],ACP6SanDiego28[OSRO Name],ACP6SanDiego28[Environemtal Sensitive Site Protection],"ERROR")</f>
        <v>--</v>
      </c>
      <c r="E89" s="12" t="str">
        <f>_xlfn.XLOOKUP(ACP6SanDiego[[#This Row],[OSRO Name]],ACP6SanDiego28[OSRO Name],ACP6SanDiego28[GRA 1
Camp Pendleton],"ERROR")</f>
        <v>--</v>
      </c>
      <c r="F89" s="69" t="str">
        <f>_xlfn.XLOOKUP(ACP6SanDiego[[#This Row],[OSRO Name]],ACP6SanDiego28[OSRO Name],ACP6SanDiego28[GRA 2
North San Diego County],"ERROR")</f>
        <v>--</v>
      </c>
      <c r="G89" s="12" t="str">
        <f>_xlfn.XLOOKUP(ACP6SanDiego[[#This Row],[OSRO Name]],ACP6SanDiego28[OSRO Name],ACP6SanDiego28[GRA 3
Central San Diego County ],"ERROR")</f>
        <v>--</v>
      </c>
      <c r="H89" s="12" t="str">
        <f>_xlfn.XLOOKUP(ACP6SanDiego[[#This Row],[OSRO Name]],ACP6SanDiego28[OSRO Name],ACP6SanDiego28[GRA 4
South San Diego County  ],"ERROR")</f>
        <v>--</v>
      </c>
      <c r="I89" s="69" t="str">
        <f>_xlfn.XLOOKUP(ACP6SanDiego[[#This Row],[OSRO Name]],ACP6SanDiego28[OSRO Name],ACP6SanDiego28[GRA 5
San Clemente Island],"ERROR")</f>
        <v>--</v>
      </c>
      <c r="J89" s="45"/>
    </row>
    <row r="90" spans="1:10" ht="15.5" x14ac:dyDescent="0.35">
      <c r="A90" s="45"/>
      <c r="B90" s="26" t="s">
        <v>21</v>
      </c>
      <c r="C90" s="1">
        <f>_xlfn.XLOOKUP(ACP6SanDiego[[#This Row],[OSRO Name]],ACP6SanDiego28[OSRO Name],ACP6SanDiego28[Expiration Date],"ERROR")</f>
        <v>46550</v>
      </c>
      <c r="D90" s="12" t="str">
        <f>_xlfn.XLOOKUP(ACP6SanDiego[[#This Row],[OSRO Name]],ACP6SanDiego28[OSRO Name],ACP6SanDiego28[Environemtal Sensitive Site Protection],"ERROR")</f>
        <v>GRA - 1 through 5</v>
      </c>
      <c r="E90" s="4" t="str">
        <f>_xlfn.XLOOKUP(ACP6SanDiego[[#This Row],[OSRO Name]],ACP6SanDiego28[OSRO Name],ACP6SanDiego28[GRA 1
Camp Pendleton],"ERROR")</f>
        <v xml:space="preserve">0*, 1*, &amp; 2+ Hr. </v>
      </c>
      <c r="F90" s="5" t="str">
        <f>_xlfn.XLOOKUP(ACP6SanDiego[[#This Row],[OSRO Name]],ACP6SanDiego28[OSRO Name],ACP6SanDiego28[GRA 2
North San Diego County],"ERROR")</f>
        <v xml:space="preserve">0*, 1*, &amp; 2+ Hr. </v>
      </c>
      <c r="G90" s="4" t="str">
        <f>_xlfn.XLOOKUP(ACP6SanDiego[[#This Row],[OSRO Name]],ACP6SanDiego28[OSRO Name],ACP6SanDiego28[GRA 3
Central San Diego County ],"ERROR")</f>
        <v xml:space="preserve">0*, 1*, &amp; 2+ Hr. </v>
      </c>
      <c r="H90" s="4" t="str">
        <f>_xlfn.XLOOKUP(ACP6SanDiego[[#This Row],[OSRO Name]],ACP6SanDiego28[OSRO Name],ACP6SanDiego28[GRA 4
South San Diego County  ],"ERROR")</f>
        <v xml:space="preserve">0*, 1*, &amp; 2+ Hr. </v>
      </c>
      <c r="I90" s="5" t="str">
        <f>_xlfn.XLOOKUP(ACP6SanDiego[[#This Row],[OSRO Name]],ACP6SanDiego28[OSRO Name],ACP6SanDiego28[GRA 5
San Clemente Island],"ERROR")</f>
        <v xml:space="preserve">0*, 1*, &amp; 2+ Hr. </v>
      </c>
      <c r="J90" s="45"/>
    </row>
    <row r="91" spans="1:10" ht="15.5" x14ac:dyDescent="0.35">
      <c r="A91" s="45"/>
      <c r="B91" s="26" t="s">
        <v>22</v>
      </c>
      <c r="C91" s="5">
        <f>_xlfn.XLOOKUP(ACP6SanDiego[[#This Row],[OSRO Name]],ACP6SanDiego28[OSRO Name],ACP6SanDiego28[Expiration Date],"ERROR")</f>
        <v>47273</v>
      </c>
      <c r="D91" s="2" t="str">
        <f>_xlfn.XLOOKUP(ACP6SanDiego[[#This Row],[OSRO Name]],ACP6SanDiego28[OSRO Name],ACP6SanDiego28[Environemtal Sensitive Site Protection],"ERROR")</f>
        <v>GRA - 1 through 5</v>
      </c>
      <c r="E91" s="4" t="str">
        <f>_xlfn.XLOOKUP(ACP6SanDiego[[#This Row],[OSRO Name]],ACP6SanDiego28[OSRO Name],ACP6SanDiego28[GRA 1
Camp Pendleton],"ERROR")</f>
        <v xml:space="preserve">0*, 1*, &amp; 2+ Hr. </v>
      </c>
      <c r="F91" s="5" t="str">
        <f>_xlfn.XLOOKUP(ACP6SanDiego[[#This Row],[OSRO Name]],ACP6SanDiego28[OSRO Name],ACP6SanDiego28[GRA 2
North San Diego County],"ERROR")</f>
        <v xml:space="preserve">0*, 1*, &amp; 2+ Hr. </v>
      </c>
      <c r="G91" s="4" t="str">
        <f>_xlfn.XLOOKUP(ACP6SanDiego[[#This Row],[OSRO Name]],ACP6SanDiego28[OSRO Name],ACP6SanDiego28[GRA 3
Central San Diego County ],"ERROR")</f>
        <v xml:space="preserve">0*, 1*, &amp; 2+ Hr. </v>
      </c>
      <c r="H91" s="4" t="str">
        <f>_xlfn.XLOOKUP(ACP6SanDiego[[#This Row],[OSRO Name]],ACP6SanDiego28[OSRO Name],ACP6SanDiego28[GRA 4
South San Diego County  ],"ERROR")</f>
        <v xml:space="preserve">0*, 1*, &amp; 2+ Hr. </v>
      </c>
      <c r="I91" s="5" t="str">
        <f>_xlfn.XLOOKUP(ACP6SanDiego[[#This Row],[OSRO Name]],ACP6SanDiego28[OSRO Name],ACP6SanDiego28[GRA 5
San Clemente Island],"ERROR")</f>
        <v>24+ Hr.</v>
      </c>
      <c r="J91" s="45"/>
    </row>
    <row r="92" spans="1:10" ht="15.5" hidden="1" x14ac:dyDescent="0.35">
      <c r="A92" s="45"/>
      <c r="B92" s="26" t="s">
        <v>23</v>
      </c>
      <c r="C92" s="5">
        <f>_xlfn.XLOOKUP(ACP6SanDiego[[#This Row],[OSRO Name]],ACP6SanDiego28[OSRO Name],ACP6SanDiego28[Expiration Date],"ERROR")</f>
        <v>45338</v>
      </c>
      <c r="D92" s="12" t="str">
        <f>_xlfn.XLOOKUP(ACP6SanDiego[[#This Row],[OSRO Name]],ACP6SanDiego28[OSRO Name],ACP6SanDiego28[Environemtal Sensitive Site Protection],"ERROR")</f>
        <v>--</v>
      </c>
      <c r="E92" s="12" t="str">
        <f>_xlfn.XLOOKUP(ACP6SanDiego[[#This Row],[OSRO Name]],ACP6SanDiego28[OSRO Name],ACP6SanDiego28[GRA 1
Camp Pendleton],"ERROR")</f>
        <v>--</v>
      </c>
      <c r="F92" s="69" t="str">
        <f>_xlfn.XLOOKUP(ACP6SanDiego[[#This Row],[OSRO Name]],ACP6SanDiego28[OSRO Name],ACP6SanDiego28[GRA 2
North San Diego County],"ERROR")</f>
        <v>--</v>
      </c>
      <c r="G92" s="12" t="str">
        <f>_xlfn.XLOOKUP(ACP6SanDiego[[#This Row],[OSRO Name]],ACP6SanDiego28[OSRO Name],ACP6SanDiego28[GRA 3
Central San Diego County ],"ERROR")</f>
        <v>--</v>
      </c>
      <c r="H92" s="12" t="str">
        <f>_xlfn.XLOOKUP(ACP6SanDiego[[#This Row],[OSRO Name]],ACP6SanDiego28[OSRO Name],ACP6SanDiego28[GRA 4
South San Diego County  ],"ERROR")</f>
        <v>--</v>
      </c>
      <c r="I92" s="69" t="str">
        <f>_xlfn.XLOOKUP(ACP6SanDiego[[#This Row],[OSRO Name]],ACP6SanDiego28[OSRO Name],ACP6SanDiego28[GRA 5
San Clemente Island],"ERROR")</f>
        <v>--</v>
      </c>
      <c r="J92" s="45"/>
    </row>
    <row r="93" spans="1:10" ht="15.5" x14ac:dyDescent="0.35">
      <c r="A93" s="45"/>
      <c r="B93" s="26" t="s">
        <v>24</v>
      </c>
      <c r="C93" s="5">
        <f>_xlfn.XLOOKUP(ACP6SanDiego[[#This Row],[OSRO Name]],ACP6SanDiego28[OSRO Name],ACP6SanDiego28[Expiration Date],"ERROR")</f>
        <v>46286</v>
      </c>
      <c r="D93" s="3" t="str">
        <f>_xlfn.XLOOKUP(ACP6SanDiego[[#This Row],[OSRO Name]],ACP6SanDiego28[OSRO Name],ACP6SanDiego28[Environemtal Sensitive Site Protection],"ERROR")</f>
        <v>GRA - 1* through 4*</v>
      </c>
      <c r="E93" s="4" t="str">
        <f>_xlfn.XLOOKUP(ACP6SanDiego[[#This Row],[OSRO Name]],ACP6SanDiego28[OSRO Name],ACP6SanDiego28[GRA 1
Camp Pendleton],"ERROR")</f>
        <v>0*,1* &amp; 6+ Hr</v>
      </c>
      <c r="F93" s="5" t="str">
        <f>_xlfn.XLOOKUP(ACP6SanDiego[[#This Row],[OSRO Name]],ACP6SanDiego28[OSRO Name],ACP6SanDiego28[GRA 2
North San Diego County],"ERROR")</f>
        <v>0*,1* &amp; 6+ Hr</v>
      </c>
      <c r="G93" s="4" t="str">
        <f>_xlfn.XLOOKUP(ACP6SanDiego[[#This Row],[OSRO Name]],ACP6SanDiego28[OSRO Name],ACP6SanDiego28[GRA 3
Central San Diego County ],"ERROR")</f>
        <v>0*,1* &amp; 6+ Hr</v>
      </c>
      <c r="H93" s="4" t="str">
        <f>_xlfn.XLOOKUP(ACP6SanDiego[[#This Row],[OSRO Name]],ACP6SanDiego28[OSRO Name],ACP6SanDiego28[GRA 4
South San Diego County  ],"ERROR")</f>
        <v>0*,1* &amp; 6+ Hr</v>
      </c>
      <c r="I93" s="69" t="str">
        <f>_xlfn.XLOOKUP(ACP6SanDiego[[#This Row],[OSRO Name]],ACP6SanDiego28[OSRO Name],ACP6SanDiego28[GRA 5
San Clemente Island],"ERROR")</f>
        <v>0*,1* &amp; 6+ Hr</v>
      </c>
      <c r="J93" s="45"/>
    </row>
    <row r="94" spans="1:10" ht="29" x14ac:dyDescent="0.35">
      <c r="A94" s="45"/>
      <c r="B94" s="30" t="s">
        <v>25</v>
      </c>
      <c r="C94" s="1">
        <f>_xlfn.XLOOKUP(ACP6SanDiego[[#This Row],[OSRO Name]],ACP6SanDiego28[OSRO Name],ACP6SanDiego28[Expiration Date],"ERROR")</f>
        <v>46550</v>
      </c>
      <c r="D94" s="12" t="str">
        <f>_xlfn.XLOOKUP(ACP6SanDiego[[#This Row],[OSRO Name]],ACP6SanDiego28[OSRO Name],ACP6SanDiego28[Environemtal Sensitive Site Protection],"ERROR")</f>
        <v>--</v>
      </c>
      <c r="E94" s="7" t="str">
        <f>_xlfn.XLOOKUP(ACP6SanDiego[[#This Row],[OSRO Name]],ACP6SanDiego28[OSRO Name],ACP6SanDiego28[GRA 1
Camp Pendleton],"ERROR")</f>
        <v>0*, 2-Hr &amp; 4-Hr Modified</v>
      </c>
      <c r="F94" s="70" t="str">
        <f>_xlfn.XLOOKUP(ACP6SanDiego[[#This Row],[OSRO Name]],ACP6SanDiego28[OSRO Name],ACP6SanDiego28[GRA 2
North San Diego County],"ERROR")</f>
        <v>0*, 2-Hr &amp; 4-Hr Modified</v>
      </c>
      <c r="G94" s="7" t="str">
        <f>_xlfn.XLOOKUP(ACP6SanDiego[[#This Row],[OSRO Name]],ACP6SanDiego28[OSRO Name],ACP6SanDiego28[GRA 3
Central San Diego County ],"ERROR")</f>
        <v>0*, 2-Hr &amp; 4-Hr Modified</v>
      </c>
      <c r="H94" s="7" t="str">
        <f>_xlfn.XLOOKUP(ACP6SanDiego[[#This Row],[OSRO Name]],ACP6SanDiego28[OSRO Name],ACP6SanDiego28[GRA 4
South San Diego County  ],"ERROR")</f>
        <v>0*, 2-Hr &amp; 4-Hr Modified</v>
      </c>
      <c r="I94" s="70" t="str">
        <f>_xlfn.XLOOKUP(ACP6SanDiego[[#This Row],[OSRO Name]],ACP6SanDiego28[OSRO Name],ACP6SanDiego28[GRA 5
San Clemente Island],"ERROR")</f>
        <v>0*, 2-Hr &amp; 4-Hr Modified</v>
      </c>
      <c r="J94" s="45"/>
    </row>
    <row r="95" spans="1:10" ht="15.5" hidden="1" x14ac:dyDescent="0.35">
      <c r="A95" s="45"/>
      <c r="B95" s="26" t="s">
        <v>26</v>
      </c>
      <c r="C95" s="5" t="str">
        <f>_xlfn.XLOOKUP(ACP6SanDiego[[#This Row],[OSRO Name]],ACP6SanDiego28[OSRO Name],ACP6SanDiego28[Expiration Date],"ERROR")</f>
        <v>Expired</v>
      </c>
      <c r="D95" s="12" t="str">
        <f>_xlfn.XLOOKUP(ACP6SanDiego[[#This Row],[OSRO Name]],ACP6SanDiego28[OSRO Name],ACP6SanDiego28[Environemtal Sensitive Site Protection],"ERROR")</f>
        <v>--</v>
      </c>
      <c r="E95" s="12" t="str">
        <f>_xlfn.XLOOKUP(ACP6SanDiego[[#This Row],[OSRO Name]],ACP6SanDiego28[OSRO Name],ACP6SanDiego28[GRA 1
Camp Pendleton],"ERROR")</f>
        <v>--</v>
      </c>
      <c r="F95" s="69" t="str">
        <f>_xlfn.XLOOKUP(ACP6SanDiego[[#This Row],[OSRO Name]],ACP6SanDiego28[OSRO Name],ACP6SanDiego28[GRA 2
North San Diego County],"ERROR")</f>
        <v>--</v>
      </c>
      <c r="G95" s="12" t="str">
        <f>_xlfn.XLOOKUP(ACP6SanDiego[[#This Row],[OSRO Name]],ACP6SanDiego28[OSRO Name],ACP6SanDiego28[GRA 3
Central San Diego County ],"ERROR")</f>
        <v>--</v>
      </c>
      <c r="H95" s="12" t="str">
        <f>_xlfn.XLOOKUP(ACP6SanDiego[[#This Row],[OSRO Name]],ACP6SanDiego28[OSRO Name],ACP6SanDiego28[GRA 4
South San Diego County  ],"ERROR")</f>
        <v>--</v>
      </c>
      <c r="I95" s="69" t="str">
        <f>_xlfn.XLOOKUP(ACP6SanDiego[[#This Row],[OSRO Name]],ACP6SanDiego28[OSRO Name],ACP6SanDiego28[GRA 5
San Clemente Island],"ERROR")</f>
        <v>--</v>
      </c>
      <c r="J95" s="45"/>
    </row>
    <row r="96" spans="1:10" ht="15.5" hidden="1" x14ac:dyDescent="0.35">
      <c r="A96" s="45"/>
      <c r="B96" s="26" t="s">
        <v>27</v>
      </c>
      <c r="C96" s="5">
        <f>_xlfn.XLOOKUP(ACP6SanDiego[[#This Row],[OSRO Name]],ACP6SanDiego28[OSRO Name],ACP6SanDiego28[Expiration Date],"ERROR")</f>
        <v>46557</v>
      </c>
      <c r="D96" s="12" t="str">
        <f>_xlfn.XLOOKUP(ACP6SanDiego[[#This Row],[OSRO Name]],ACP6SanDiego28[OSRO Name],ACP6SanDiego28[Environemtal Sensitive Site Protection],"ERROR")</f>
        <v>--</v>
      </c>
      <c r="E96" s="12" t="str">
        <f>_xlfn.XLOOKUP(ACP6SanDiego[[#This Row],[OSRO Name]],ACP6SanDiego28[OSRO Name],ACP6SanDiego28[GRA 1
Camp Pendleton],"ERROR")</f>
        <v>--</v>
      </c>
      <c r="F96" s="69" t="str">
        <f>_xlfn.XLOOKUP(ACP6SanDiego[[#This Row],[OSRO Name]],ACP6SanDiego28[OSRO Name],ACP6SanDiego28[GRA 2
North San Diego County],"ERROR")</f>
        <v>--</v>
      </c>
      <c r="G96" s="12" t="str">
        <f>_xlfn.XLOOKUP(ACP6SanDiego[[#This Row],[OSRO Name]],ACP6SanDiego28[OSRO Name],ACP6SanDiego28[GRA 3
Central San Diego County ],"ERROR")</f>
        <v>--</v>
      </c>
      <c r="H96" s="12" t="str">
        <f>_xlfn.XLOOKUP(ACP6SanDiego[[#This Row],[OSRO Name]],ACP6SanDiego28[OSRO Name],ACP6SanDiego28[GRA 4
South San Diego County  ],"ERROR")</f>
        <v>--</v>
      </c>
      <c r="I96" s="69" t="str">
        <f>_xlfn.XLOOKUP(ACP6SanDiego[[#This Row],[OSRO Name]],ACP6SanDiego28[OSRO Name],ACP6SanDiego28[GRA 5
San Clemente Island],"ERROR")</f>
        <v>--</v>
      </c>
      <c r="J96" s="45"/>
    </row>
    <row r="97" spans="1:10" ht="15.5" x14ac:dyDescent="0.35">
      <c r="A97" s="45"/>
      <c r="B97" s="46"/>
      <c r="C97" s="47"/>
      <c r="D97" s="48"/>
      <c r="E97" s="48"/>
      <c r="F97" s="48"/>
      <c r="G97" s="48"/>
      <c r="H97" s="48"/>
      <c r="I97" s="48"/>
      <c r="J97" s="45"/>
    </row>
    <row r="98" spans="1:10" x14ac:dyDescent="0.35">
      <c r="A98" s="45"/>
      <c r="B98" s="45"/>
      <c r="C98" s="45"/>
      <c r="D98" s="45"/>
      <c r="E98" s="45"/>
      <c r="F98" s="45"/>
      <c r="G98" s="45"/>
      <c r="H98" s="45"/>
      <c r="I98" s="45"/>
      <c r="J98" s="45"/>
    </row>
    <row r="99" spans="1:10" ht="18.5" x14ac:dyDescent="0.45">
      <c r="A99" s="45"/>
      <c r="B99" s="113" t="s">
        <v>62</v>
      </c>
      <c r="C99" s="113"/>
      <c r="D99" s="113"/>
      <c r="E99" s="113"/>
      <c r="F99" s="45"/>
      <c r="G99" s="45"/>
      <c r="H99" s="45"/>
      <c r="I99" s="45"/>
      <c r="J99" s="45"/>
    </row>
    <row r="100" spans="1:10" x14ac:dyDescent="0.35">
      <c r="A100" s="45"/>
      <c r="B100" s="53" t="s">
        <v>63</v>
      </c>
      <c r="C100" s="54" t="s">
        <v>64</v>
      </c>
      <c r="D100" s="54" t="s">
        <v>65</v>
      </c>
      <c r="E100" s="54" t="s">
        <v>66</v>
      </c>
      <c r="F100" s="45"/>
      <c r="G100" s="45"/>
      <c r="H100" s="45"/>
      <c r="I100" s="45"/>
      <c r="J100" s="45"/>
    </row>
    <row r="101" spans="1:10" x14ac:dyDescent="0.35">
      <c r="A101" s="45"/>
      <c r="B101" s="40" t="s">
        <v>67</v>
      </c>
      <c r="C101" s="8" t="s">
        <v>68</v>
      </c>
      <c r="D101" s="4" t="s">
        <v>69</v>
      </c>
      <c r="E101" s="4" t="s">
        <v>70</v>
      </c>
      <c r="F101" s="45"/>
      <c r="G101" s="45"/>
      <c r="H101" s="45"/>
      <c r="I101" s="45"/>
      <c r="J101" s="45"/>
    </row>
    <row r="102" spans="1:10" x14ac:dyDescent="0.35">
      <c r="A102" s="45"/>
      <c r="B102" s="40" t="s">
        <v>71</v>
      </c>
      <c r="C102" s="8" t="s">
        <v>72</v>
      </c>
      <c r="D102" s="4" t="s">
        <v>69</v>
      </c>
      <c r="E102" s="4" t="s">
        <v>70</v>
      </c>
      <c r="F102" s="45"/>
      <c r="G102" s="45"/>
      <c r="H102" s="45"/>
      <c r="I102" s="45"/>
      <c r="J102" s="45"/>
    </row>
    <row r="103" spans="1:10" x14ac:dyDescent="0.35">
      <c r="A103" s="45"/>
      <c r="B103" s="40" t="s">
        <v>73</v>
      </c>
      <c r="C103" s="8" t="s">
        <v>74</v>
      </c>
      <c r="D103" s="4" t="s">
        <v>75</v>
      </c>
      <c r="E103" s="4" t="s">
        <v>70</v>
      </c>
      <c r="F103" s="45"/>
      <c r="G103" s="45"/>
      <c r="H103" s="45"/>
      <c r="I103" s="45"/>
      <c r="J103" s="45"/>
    </row>
    <row r="104" spans="1:10" x14ac:dyDescent="0.35">
      <c r="A104" s="45"/>
      <c r="B104" s="40" t="s">
        <v>76</v>
      </c>
      <c r="C104" s="8" t="s">
        <v>77</v>
      </c>
      <c r="D104" s="4" t="s">
        <v>75</v>
      </c>
      <c r="E104" s="4" t="s">
        <v>70</v>
      </c>
      <c r="F104" s="45"/>
      <c r="G104" s="45"/>
      <c r="H104" s="45"/>
      <c r="I104" s="45"/>
      <c r="J104" s="45"/>
    </row>
    <row r="105" spans="1:10" ht="15.5" x14ac:dyDescent="0.35">
      <c r="A105" s="45"/>
      <c r="B105" s="44" t="s">
        <v>78</v>
      </c>
      <c r="C105" s="8" t="s">
        <v>79</v>
      </c>
      <c r="D105" s="4" t="s">
        <v>75</v>
      </c>
      <c r="E105" s="4" t="s">
        <v>70</v>
      </c>
      <c r="F105" s="45"/>
      <c r="G105" s="45"/>
      <c r="H105" s="45"/>
      <c r="I105" s="45"/>
      <c r="J105" s="45"/>
    </row>
    <row r="106" spans="1:10" ht="15.5" x14ac:dyDescent="0.35">
      <c r="A106" s="45"/>
      <c r="B106" s="41" t="s">
        <v>80</v>
      </c>
      <c r="C106" s="9" t="s">
        <v>81</v>
      </c>
      <c r="D106" s="4" t="s">
        <v>82</v>
      </c>
      <c r="E106" s="4" t="s">
        <v>70</v>
      </c>
      <c r="F106" s="45"/>
      <c r="G106" s="45"/>
      <c r="H106" s="45"/>
      <c r="I106" s="45"/>
      <c r="J106" s="45"/>
    </row>
    <row r="107" spans="1:10" ht="15.5" x14ac:dyDescent="0.35">
      <c r="A107" s="45"/>
      <c r="B107" s="42" t="s">
        <v>83</v>
      </c>
      <c r="C107" s="8" t="s">
        <v>84</v>
      </c>
      <c r="D107" s="4" t="s">
        <v>82</v>
      </c>
      <c r="E107" s="4" t="s">
        <v>70</v>
      </c>
      <c r="F107" s="45"/>
      <c r="G107" s="45"/>
      <c r="H107" s="45"/>
      <c r="I107" s="45"/>
      <c r="J107" s="45"/>
    </row>
    <row r="108" spans="1:10" ht="15.5" x14ac:dyDescent="0.35">
      <c r="A108" s="45"/>
      <c r="B108" s="41" t="s">
        <v>85</v>
      </c>
      <c r="C108" s="3" t="s">
        <v>86</v>
      </c>
      <c r="D108" s="4" t="s">
        <v>87</v>
      </c>
      <c r="E108" s="4" t="s">
        <v>70</v>
      </c>
      <c r="F108" s="45"/>
      <c r="G108" s="45"/>
      <c r="H108" s="45"/>
      <c r="I108" s="45"/>
      <c r="J108" s="45"/>
    </row>
    <row r="109" spans="1:10" ht="15.5" x14ac:dyDescent="0.35">
      <c r="A109" s="45"/>
      <c r="B109" s="43" t="s">
        <v>88</v>
      </c>
      <c r="C109" s="8" t="s">
        <v>89</v>
      </c>
      <c r="D109" s="6" t="s">
        <v>90</v>
      </c>
      <c r="E109" s="6" t="s">
        <v>70</v>
      </c>
      <c r="F109" s="45"/>
      <c r="G109" s="45"/>
      <c r="H109" s="45"/>
      <c r="I109" s="45"/>
      <c r="J109" s="45"/>
    </row>
    <row r="110" spans="1:10" x14ac:dyDescent="0.35">
      <c r="A110" s="45"/>
      <c r="B110" s="45"/>
      <c r="C110" s="45"/>
      <c r="D110" s="45"/>
      <c r="E110" s="45"/>
      <c r="F110" s="45"/>
      <c r="G110" s="45"/>
      <c r="H110" s="45"/>
      <c r="I110" s="45"/>
      <c r="J110" s="45"/>
    </row>
    <row r="111" spans="1:10" x14ac:dyDescent="0.35">
      <c r="A111" s="45"/>
      <c r="B111" s="45"/>
      <c r="C111" s="45"/>
      <c r="D111" s="45"/>
      <c r="E111" s="45"/>
      <c r="F111" s="45"/>
      <c r="G111" s="45"/>
      <c r="H111" s="45"/>
      <c r="I111" s="45"/>
      <c r="J111" s="45"/>
    </row>
    <row r="112" spans="1:10" ht="18.5" x14ac:dyDescent="0.45">
      <c r="A112" s="45"/>
      <c r="B112" s="127" t="s">
        <v>91</v>
      </c>
      <c r="C112" s="127"/>
      <c r="D112" s="45"/>
      <c r="E112" s="45"/>
      <c r="F112" s="45"/>
      <c r="G112" s="45"/>
      <c r="H112" s="45"/>
      <c r="I112" s="45"/>
      <c r="J112" s="45"/>
    </row>
    <row r="113" spans="1:10" x14ac:dyDescent="0.35">
      <c r="A113" s="45"/>
      <c r="B113" s="104" t="s">
        <v>21</v>
      </c>
      <c r="C113" s="105"/>
      <c r="D113" s="45"/>
      <c r="E113" s="45"/>
      <c r="F113" s="45"/>
      <c r="G113" s="45"/>
      <c r="H113" s="45"/>
      <c r="I113" s="45"/>
      <c r="J113" s="45"/>
    </row>
    <row r="114" spans="1:10" x14ac:dyDescent="0.35">
      <c r="A114" s="45"/>
      <c r="B114" s="106" t="s">
        <v>22</v>
      </c>
      <c r="C114" s="107"/>
      <c r="D114" s="45"/>
      <c r="E114" s="45"/>
      <c r="F114" s="45"/>
      <c r="G114" s="45"/>
      <c r="H114" s="45"/>
      <c r="I114" s="45"/>
      <c r="J114" s="45"/>
    </row>
    <row r="115" spans="1:10" x14ac:dyDescent="0.35">
      <c r="A115" s="45"/>
      <c r="B115" s="103" t="s">
        <v>92</v>
      </c>
      <c r="C115" s="103"/>
      <c r="D115" s="45"/>
      <c r="E115" s="45"/>
      <c r="F115" s="45"/>
      <c r="G115" s="45"/>
      <c r="H115" s="45"/>
      <c r="I115" s="45"/>
      <c r="J115" s="45"/>
    </row>
    <row r="116" spans="1:10" x14ac:dyDescent="0.35">
      <c r="A116" s="45"/>
      <c r="B116" s="103"/>
      <c r="C116" s="103"/>
      <c r="D116" s="45"/>
      <c r="E116" s="45"/>
      <c r="F116" s="45"/>
      <c r="G116" s="45"/>
      <c r="H116" s="45"/>
      <c r="I116" s="45"/>
      <c r="J116" s="45"/>
    </row>
    <row r="117" spans="1:10" x14ac:dyDescent="0.35">
      <c r="A117" s="45"/>
      <c r="B117" s="57"/>
      <c r="C117" s="57"/>
      <c r="D117" s="55"/>
      <c r="E117" s="45"/>
      <c r="F117" s="45"/>
      <c r="G117" s="45"/>
      <c r="H117" s="45"/>
      <c r="I117" s="45"/>
      <c r="J117" s="45"/>
    </row>
    <row r="118" spans="1:10" x14ac:dyDescent="0.35">
      <c r="A118" s="55"/>
      <c r="B118" s="57"/>
      <c r="C118" s="57"/>
      <c r="D118" s="55"/>
      <c r="E118" s="45"/>
      <c r="F118" s="45"/>
      <c r="G118" s="45"/>
      <c r="H118" s="45"/>
      <c r="I118" s="45"/>
      <c r="J118" s="45"/>
    </row>
    <row r="119" spans="1:10" x14ac:dyDescent="0.35">
      <c r="A119" s="45"/>
      <c r="B119" s="45"/>
      <c r="C119" s="45"/>
      <c r="D119" s="45"/>
      <c r="E119" s="45"/>
      <c r="F119" s="45"/>
      <c r="G119" s="45"/>
      <c r="H119" s="45"/>
      <c r="I119" s="45"/>
      <c r="J119" s="45"/>
    </row>
  </sheetData>
  <sheetProtection algorithmName="SHA-512" hashValue="v8pVR/pbWDOn46wBRhKOhCyIX+m8+IH7u9+TJqcFln68udtNCbdsr5nJiwSKZaKgM8vL273OV4gYQ3PQSzZHsA==" saltValue="DAFO80hTm3BhueLME3Z7qg==" spinCount="100000" sheet="1" objects="1" scenarios="1"/>
  <mergeCells count="14">
    <mergeCell ref="B115:C116"/>
    <mergeCell ref="B113:C113"/>
    <mergeCell ref="B114:C114"/>
    <mergeCell ref="B3:H3"/>
    <mergeCell ref="B19:I19"/>
    <mergeCell ref="B32:I32"/>
    <mergeCell ref="B45:I45"/>
    <mergeCell ref="B99:E99"/>
    <mergeCell ref="B4:H4"/>
    <mergeCell ref="B58:H58"/>
    <mergeCell ref="B72:G72"/>
    <mergeCell ref="B86:I86"/>
    <mergeCell ref="B6:H6"/>
    <mergeCell ref="B112:C112"/>
  </mergeCells>
  <conditionalFormatting sqref="B105">
    <cfRule type="cellIs" dxfId="6" priority="1" operator="equal">
      <formula>"No Rating"</formula>
    </cfRule>
  </conditionalFormatting>
  <pageMargins left="0.25" right="0.25" top="0.75" bottom="0.75" header="0.3" footer="0.3"/>
  <pageSetup scale="59" fitToWidth="0" fitToHeight="0" orientation="landscape" r:id="rId1"/>
  <rowBreaks count="2" manualBreakCount="2">
    <brk id="43" max="16383" man="1"/>
    <brk id="84" max="16383" man="1"/>
  </rowBreaks>
  <tableParts count="8">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4481-3650-40A9-9EC4-5217D888FA1F}">
  <dimension ref="A1:T14"/>
  <sheetViews>
    <sheetView workbookViewId="0">
      <selection activeCell="B6" sqref="B6"/>
    </sheetView>
  </sheetViews>
  <sheetFormatPr defaultColWidth="8.7265625" defaultRowHeight="14.5" zeroHeight="1" x14ac:dyDescent="0.35"/>
  <cols>
    <col min="1" max="1" width="43.54296875" bestFit="1" customWidth="1"/>
    <col min="2" max="2" width="20.1796875" style="99" customWidth="1"/>
    <col min="3" max="4" width="20.1796875" style="94" hidden="1" customWidth="1"/>
    <col min="5" max="5" width="14.81640625" style="86" hidden="1" customWidth="1"/>
    <col min="6" max="6" width="23.54296875" style="8" hidden="1" customWidth="1"/>
    <col min="7" max="7" width="15.1796875" style="89" hidden="1" customWidth="1"/>
    <col min="8" max="8" width="17.453125" style="8" hidden="1" customWidth="1"/>
    <col min="9" max="11" width="26.81640625" customWidth="1"/>
    <col min="12" max="12" width="36.54296875" customWidth="1"/>
    <col min="13" max="13" width="30.453125" customWidth="1"/>
    <col min="14" max="14" width="36.7265625" customWidth="1"/>
    <col min="15" max="15" width="32.453125" customWidth="1"/>
    <col min="16" max="16" width="45.81640625" customWidth="1"/>
    <col min="17" max="17" width="36.1796875" customWidth="1"/>
    <col min="18" max="18" width="22.54296875" customWidth="1"/>
    <col min="19" max="19" width="14.54296875" customWidth="1"/>
    <col min="20" max="20" width="17.1796875" customWidth="1"/>
    <col min="21" max="16383" width="8.7265625" customWidth="1"/>
  </cols>
  <sheetData>
    <row r="1" spans="1:20" ht="15.5" x14ac:dyDescent="0.35">
      <c r="A1" s="78" t="s">
        <v>12</v>
      </c>
      <c r="B1" s="95" t="s">
        <v>127</v>
      </c>
      <c r="C1" s="93" t="s">
        <v>128</v>
      </c>
      <c r="D1" s="93" t="s">
        <v>129</v>
      </c>
      <c r="E1" s="83" t="s">
        <v>130</v>
      </c>
      <c r="F1" s="77" t="s">
        <v>131</v>
      </c>
      <c r="G1" s="83" t="s">
        <v>132</v>
      </c>
      <c r="H1" s="77" t="s">
        <v>133</v>
      </c>
      <c r="I1" s="77" t="s">
        <v>134</v>
      </c>
      <c r="J1" s="77" t="s">
        <v>135</v>
      </c>
      <c r="K1" s="77" t="s">
        <v>136</v>
      </c>
      <c r="L1" s="77" t="s">
        <v>137</v>
      </c>
      <c r="M1" s="77" t="s">
        <v>138</v>
      </c>
      <c r="N1" s="79" t="s">
        <v>139</v>
      </c>
      <c r="O1" s="79" t="s">
        <v>140</v>
      </c>
      <c r="P1" s="79" t="s">
        <v>141</v>
      </c>
      <c r="Q1" s="82" t="s">
        <v>142</v>
      </c>
    </row>
    <row r="2" spans="1:20" ht="15.5" x14ac:dyDescent="0.35">
      <c r="A2" s="76" t="s">
        <v>51</v>
      </c>
      <c r="B2" s="96">
        <v>47007</v>
      </c>
      <c r="C2" s="84">
        <f>IF(MarineExpirationDates[[#This Row],[ExpirationDates]]="Expired", "Expired",MarineExpirationDates[[#This Row],[ExpirationDates]]-14)</f>
        <v>46993</v>
      </c>
      <c r="D2" s="4" t="str">
        <f ca="1">IF(MarineExpirationDates[[#This Row],[14 Day]]&lt;=$T$2,"Yes","No")</f>
        <v>No</v>
      </c>
      <c r="E2" s="84">
        <f>IF(MarineExpirationDates[[#This Row],[ExpirationDates]]="Expired", "Expired",MarineExpirationDates[[#This Row],[ExpirationDates]]-30)</f>
        <v>46977</v>
      </c>
      <c r="F2" s="4" t="str">
        <f ca="1">IF(MarineExpirationDates[[#This Row],[30 Day]]&lt;=$T$2,"Yes","No")</f>
        <v>No</v>
      </c>
      <c r="G2" s="87">
        <f>IF(MarineExpirationDates[[#This Row],[ExpirationDates]]="Expired","Expired",MarineExpirationDates[[#This Row],[ExpirationDates]]-120)</f>
        <v>46887</v>
      </c>
      <c r="H2" s="4" t="str">
        <f ca="1">IF(MarineExpirationDates[[#This Row],[120 Day]]&lt;=$T$2,"Yes","No")</f>
        <v>No</v>
      </c>
      <c r="I2" s="4" t="s">
        <v>7</v>
      </c>
      <c r="J2" s="4" t="s">
        <v>7</v>
      </c>
      <c r="K2" s="4" t="s">
        <v>7</v>
      </c>
      <c r="L2" s="90">
        <v>45897</v>
      </c>
      <c r="M2" s="90">
        <v>45807</v>
      </c>
      <c r="N2" s="4" t="s">
        <v>143</v>
      </c>
      <c r="O2" s="90">
        <v>45895</v>
      </c>
      <c r="P2" s="4" t="s">
        <v>144</v>
      </c>
      <c r="Q2" s="91" t="s">
        <v>145</v>
      </c>
      <c r="S2" s="80" t="s">
        <v>146</v>
      </c>
      <c r="T2" s="81">
        <f ca="1">TODAY()</f>
        <v>46177</v>
      </c>
    </row>
    <row r="3" spans="1:20" ht="15.5" x14ac:dyDescent="0.35">
      <c r="A3" s="60" t="s">
        <v>19</v>
      </c>
      <c r="B3" s="97">
        <v>46451</v>
      </c>
      <c r="C3" s="84">
        <f>IF(MarineExpirationDates[[#This Row],[ExpirationDates]]="Expired", "Expired",MarineExpirationDates[[#This Row],[ExpirationDates]]-14)</f>
        <v>46437</v>
      </c>
      <c r="D3" s="84" t="str">
        <f ca="1">IF(MarineExpirationDates[[#This Row],[14 Day]]&lt;=$T$2,"Yes","No")</f>
        <v>No</v>
      </c>
      <c r="E3" s="84">
        <f>IF(MarineExpirationDates[[#This Row],[ExpirationDates]]="Expired", "Expired",MarineExpirationDates[[#This Row],[ExpirationDates]]-30)</f>
        <v>46421</v>
      </c>
      <c r="F3" s="4" t="str">
        <f ca="1">IF(MarineExpirationDates[[#This Row],[30 Day]]&lt;=$T$2,"Yes","No")</f>
        <v>No</v>
      </c>
      <c r="G3" s="87">
        <f>IF(MarineExpirationDates[[#This Row],[ExpirationDates]]="Expired","Expired",MarineExpirationDates[[#This Row],[ExpirationDates]]-120)</f>
        <v>46331</v>
      </c>
      <c r="H3" s="4" t="str">
        <f ca="1">IF(MarineExpirationDates[[#This Row],[120 Day]]&lt;=$T$2,"Yes","No")</f>
        <v>No</v>
      </c>
      <c r="I3" s="4"/>
      <c r="J3" s="4"/>
      <c r="K3" s="4"/>
      <c r="L3" s="4"/>
      <c r="M3" s="4"/>
      <c r="N3" s="4"/>
      <c r="O3" s="4"/>
      <c r="P3" s="4"/>
      <c r="Q3" s="91"/>
    </row>
    <row r="4" spans="1:20" ht="15.5" x14ac:dyDescent="0.35">
      <c r="A4" s="60" t="s">
        <v>20</v>
      </c>
      <c r="B4" s="97">
        <v>46256</v>
      </c>
      <c r="C4" s="84">
        <f>IF(MarineExpirationDates[[#This Row],[ExpirationDates]]="Expired", "Expired",MarineExpirationDates[[#This Row],[ExpirationDates]]-14)</f>
        <v>46242</v>
      </c>
      <c r="D4" s="84" t="str">
        <f ca="1">IF(MarineExpirationDates[[#This Row],[14 Day]]&lt;=$T$2,"Yes","No")</f>
        <v>No</v>
      </c>
      <c r="E4" s="84">
        <f>IF(MarineExpirationDates[[#This Row],[ExpirationDates]]="Expired", "Expired",MarineExpirationDates[[#This Row],[ExpirationDates]]-30)</f>
        <v>46226</v>
      </c>
      <c r="F4" s="4" t="str">
        <f ca="1">IF(MarineExpirationDates[[#This Row],[30 Day]]&lt;=$T$2,"Yes","No")</f>
        <v>No</v>
      </c>
      <c r="G4" s="87">
        <f>IF(MarineExpirationDates[[#This Row],[ExpirationDates]]="Expired","Expired",MarineExpirationDates[[#This Row],[ExpirationDates]]-120)</f>
        <v>46136</v>
      </c>
      <c r="H4" s="4" t="str">
        <f ca="1">IF(MarineExpirationDates[[#This Row],[120 Day]]&lt;=$T$2,"Yes","No")</f>
        <v>Yes</v>
      </c>
      <c r="I4" s="4"/>
      <c r="J4" s="4"/>
      <c r="K4" s="4"/>
      <c r="L4" s="4"/>
      <c r="M4" s="4"/>
      <c r="N4" s="4"/>
      <c r="O4" s="4"/>
      <c r="P4" s="4"/>
      <c r="Q4" s="91"/>
    </row>
    <row r="5" spans="1:20" ht="15.5" x14ac:dyDescent="0.35">
      <c r="A5" s="60" t="s">
        <v>21</v>
      </c>
      <c r="B5" s="97">
        <v>46550</v>
      </c>
      <c r="C5" s="84">
        <f>IF(MarineExpirationDates[[#This Row],[ExpirationDates]]="Expired", "Expired",MarineExpirationDates[[#This Row],[ExpirationDates]]-14)</f>
        <v>46536</v>
      </c>
      <c r="D5" s="84" t="str">
        <f ca="1">IF(MarineExpirationDates[[#This Row],[14 Day]]&lt;=$T$2,"Yes","No")</f>
        <v>No</v>
      </c>
      <c r="E5" s="84">
        <f>IF(MarineExpirationDates[[#This Row],[ExpirationDates]]="Expired", "Expired",MarineExpirationDates[[#This Row],[ExpirationDates]]-30)</f>
        <v>46520</v>
      </c>
      <c r="F5" s="4" t="str">
        <f ca="1">IF(MarineExpirationDates[[#This Row],[30 Day]]&lt;=$T$2,"Yes","No")</f>
        <v>No</v>
      </c>
      <c r="G5" s="87">
        <f>IF(MarineExpirationDates[[#This Row],[ExpirationDates]]="Expired","Expired",MarineExpirationDates[[#This Row],[ExpirationDates]]-120)</f>
        <v>46430</v>
      </c>
      <c r="H5" s="4" t="str">
        <f ca="1">IF(MarineExpirationDates[[#This Row],[120 Day]]&lt;=$T$2,"Yes","No")</f>
        <v>No</v>
      </c>
      <c r="I5" s="4"/>
      <c r="J5" s="4"/>
      <c r="K5" s="4"/>
      <c r="L5" s="4"/>
      <c r="M5" s="4"/>
      <c r="N5" s="4"/>
      <c r="O5" s="4"/>
      <c r="P5" s="4"/>
      <c r="Q5" s="91"/>
    </row>
    <row r="6" spans="1:20" ht="14.5" customHeight="1" x14ac:dyDescent="0.35">
      <c r="A6" s="60" t="s">
        <v>22</v>
      </c>
      <c r="B6" s="97">
        <v>47273</v>
      </c>
      <c r="C6" s="84">
        <f>IF(MarineExpirationDates[[#This Row],[ExpirationDates]]="Expired", "Expired",MarineExpirationDates[[#This Row],[ExpirationDates]]-14)</f>
        <v>47259</v>
      </c>
      <c r="D6" s="84" t="str">
        <f ca="1">IF(MarineExpirationDates[[#This Row],[14 Day]]&lt;=$T$2,"Yes","No")</f>
        <v>No</v>
      </c>
      <c r="E6" s="84">
        <f>IF(MarineExpirationDates[[#This Row],[ExpirationDates]]="Expired", "Expired",MarineExpirationDates[[#This Row],[ExpirationDates]]-30)</f>
        <v>47243</v>
      </c>
      <c r="F6" s="4" t="str">
        <f ca="1">IF(MarineExpirationDates[[#This Row],[30 Day]]&lt;=$T$2,"Yes","No")</f>
        <v>No</v>
      </c>
      <c r="G6" s="87">
        <f>IF(MarineExpirationDates[[#This Row],[ExpirationDates]]="Expired","Expired",MarineExpirationDates[[#This Row],[ExpirationDates]]-120)</f>
        <v>47153</v>
      </c>
      <c r="H6" s="4" t="str">
        <f ca="1">IF(MarineExpirationDates[[#This Row],[120 Day]]&lt;=$T$2,"Yes","No")</f>
        <v>No</v>
      </c>
      <c r="I6" s="4" t="s">
        <v>7</v>
      </c>
      <c r="J6" s="4" t="s">
        <v>7</v>
      </c>
      <c r="K6" s="4" t="s">
        <v>7</v>
      </c>
      <c r="L6" s="90">
        <v>46085</v>
      </c>
      <c r="M6" s="90">
        <v>46008</v>
      </c>
      <c r="N6" s="4" t="s">
        <v>143</v>
      </c>
      <c r="O6" s="90">
        <v>46170</v>
      </c>
      <c r="P6" s="4" t="s">
        <v>153</v>
      </c>
      <c r="Q6" s="91" t="s">
        <v>145</v>
      </c>
    </row>
    <row r="7" spans="1:20" ht="4.5" hidden="1" customHeight="1" x14ac:dyDescent="0.35">
      <c r="A7" s="60" t="s">
        <v>23</v>
      </c>
      <c r="B7" s="97">
        <v>45338</v>
      </c>
      <c r="C7" s="84">
        <f>IF(MarineExpirationDates[[#This Row],[ExpirationDates]]="Expired", "Expired",MarineExpirationDates[[#This Row],[ExpirationDates]]-14)</f>
        <v>45324</v>
      </c>
      <c r="D7" s="84" t="str">
        <f ca="1">IF(MarineExpirationDates[[#This Row],[14 Day]]&lt;=$T$2,"Yes","No")</f>
        <v>Yes</v>
      </c>
      <c r="E7" s="84">
        <f>IF(MarineExpirationDates[[#This Row],[ExpirationDates]]="Expired", "Expired",MarineExpirationDates[[#This Row],[ExpirationDates]]-30)</f>
        <v>45308</v>
      </c>
      <c r="F7" s="4" t="str">
        <f ca="1">IF(MarineExpirationDates[[#This Row],[30 Day]]&lt;=$T$2,"Yes","No")</f>
        <v>Yes</v>
      </c>
      <c r="G7" s="87">
        <f>IF(MarineExpirationDates[[#This Row],[ExpirationDates]]="Expired","Expired",MarineExpirationDates[[#This Row],[ExpirationDates]]-120)</f>
        <v>45218</v>
      </c>
      <c r="H7" s="4" t="str">
        <f ca="1">IF(MarineExpirationDates[[#This Row],[120 Day]]&lt;=$T$2,"Yes","No")</f>
        <v>Yes</v>
      </c>
      <c r="I7" s="4"/>
      <c r="J7" s="4"/>
      <c r="K7" s="4"/>
      <c r="L7" s="4"/>
      <c r="M7" s="4"/>
      <c r="N7" s="4"/>
      <c r="O7" s="4"/>
      <c r="P7" s="4"/>
      <c r="Q7" s="91"/>
    </row>
    <row r="8" spans="1:20" ht="15.5" x14ac:dyDescent="0.35">
      <c r="A8" s="60" t="s">
        <v>24</v>
      </c>
      <c r="B8" s="97">
        <v>46286</v>
      </c>
      <c r="C8" s="84">
        <f>IF(MarineExpirationDates[[#This Row],[ExpirationDates]]="Expired", "Expired",MarineExpirationDates[[#This Row],[ExpirationDates]]-14)</f>
        <v>46272</v>
      </c>
      <c r="D8" s="84" t="str">
        <f ca="1">IF(MarineExpirationDates[[#This Row],[14 Day]]&lt;=$T$2,"Yes","No")</f>
        <v>No</v>
      </c>
      <c r="E8" s="84">
        <f>IF(MarineExpirationDates[[#This Row],[ExpirationDates]]="Expired", "Expired",MarineExpirationDates[[#This Row],[ExpirationDates]]-30)</f>
        <v>46256</v>
      </c>
      <c r="F8" s="4" t="str">
        <f ca="1">IF(MarineExpirationDates[[#This Row],[30 Day]]&lt;=$T$2,"Yes","No")</f>
        <v>No</v>
      </c>
      <c r="G8" s="87">
        <f>IF(MarineExpirationDates[[#This Row],[ExpirationDates]]="Expired","Expired",MarineExpirationDates[[#This Row],[ExpirationDates]]-120)</f>
        <v>46166</v>
      </c>
      <c r="H8" s="4" t="str">
        <f ca="1">IF(MarineExpirationDates[[#This Row],[120 Day]]&lt;=$T$2,"Yes","No")</f>
        <v>Yes</v>
      </c>
      <c r="I8" s="4"/>
      <c r="J8" s="4"/>
      <c r="K8" s="4"/>
      <c r="L8" s="4"/>
      <c r="M8" s="4"/>
      <c r="N8" s="4"/>
      <c r="O8" s="4"/>
      <c r="P8" s="4"/>
      <c r="Q8" s="91"/>
    </row>
    <row r="9" spans="1:20" ht="15.5" x14ac:dyDescent="0.35">
      <c r="A9" s="60" t="s">
        <v>25</v>
      </c>
      <c r="B9" s="97">
        <v>46550</v>
      </c>
      <c r="C9" s="84">
        <f>IF(MarineExpirationDates[[#This Row],[ExpirationDates]]="Expired", "Expired",MarineExpirationDates[[#This Row],[ExpirationDates]]-14)</f>
        <v>46536</v>
      </c>
      <c r="D9" s="84" t="str">
        <f ca="1">IF(MarineExpirationDates[[#This Row],[14 Day]]&lt;=$T$2,"Yes","No")</f>
        <v>No</v>
      </c>
      <c r="E9" s="84">
        <f>IF(MarineExpirationDates[[#This Row],[ExpirationDates]]="Expired", "Expired",MarineExpirationDates[[#This Row],[ExpirationDates]]-30)</f>
        <v>46520</v>
      </c>
      <c r="F9" s="4" t="str">
        <f ca="1">IF(MarineExpirationDates[[#This Row],[30 Day]]&lt;=$T$2,"Yes","No")</f>
        <v>No</v>
      </c>
      <c r="G9" s="87">
        <f>IF(MarineExpirationDates[[#This Row],[ExpirationDates]]="Expired","Expired",MarineExpirationDates[[#This Row],[ExpirationDates]]-120)</f>
        <v>46430</v>
      </c>
      <c r="H9" s="4" t="str">
        <f ca="1">IF(MarineExpirationDates[[#This Row],[120 Day]]&lt;=$T$2,"Yes","No")</f>
        <v>No</v>
      </c>
      <c r="I9" s="4"/>
      <c r="J9" s="4"/>
      <c r="K9" s="4"/>
      <c r="L9" s="4"/>
      <c r="M9" s="4"/>
      <c r="N9" s="4"/>
      <c r="O9" s="4"/>
      <c r="P9" s="4"/>
      <c r="Q9" s="91"/>
    </row>
    <row r="10" spans="1:20" ht="15.5" x14ac:dyDescent="0.35">
      <c r="A10" s="60" t="s">
        <v>26</v>
      </c>
      <c r="B10" s="97" t="s">
        <v>147</v>
      </c>
      <c r="C10" s="84" t="str">
        <f>IF(MarineExpirationDates[[#This Row],[ExpirationDates]]="Expired", "Expired",MarineExpirationDates[[#This Row],[ExpirationDates]]-14)</f>
        <v>Expired</v>
      </c>
      <c r="D10" s="84" t="str">
        <f ca="1">IF(MarineExpirationDates[[#This Row],[14 Day]]&lt;=$T$2,"Yes","No")</f>
        <v>No</v>
      </c>
      <c r="E10" s="84" t="str">
        <f>IF(MarineExpirationDates[[#This Row],[ExpirationDates]]="Expired", "Expired",MarineExpirationDates[[#This Row],[ExpirationDates]]-30)</f>
        <v>Expired</v>
      </c>
      <c r="F10" s="4" t="str">
        <f ca="1">IF(MarineExpirationDates[[#This Row],[30 Day]]&lt;=$T$2,"Yes","No")</f>
        <v>No</v>
      </c>
      <c r="G10" s="87" t="str">
        <f>IF(MarineExpirationDates[[#This Row],[ExpirationDates]]="Expired","Expired",MarineExpirationDates[[#This Row],[ExpirationDates]]-120)</f>
        <v>Expired</v>
      </c>
      <c r="H10" s="4" t="str">
        <f ca="1">IF(MarineExpirationDates[[#This Row],[120 Day]]&lt;=$T$2,"Yes","No")</f>
        <v>No</v>
      </c>
      <c r="I10" s="4"/>
      <c r="J10" s="4"/>
      <c r="K10" s="4"/>
      <c r="L10" s="4"/>
      <c r="M10" s="4"/>
      <c r="N10" s="4"/>
      <c r="O10" s="4"/>
      <c r="P10" s="4"/>
      <c r="Q10" s="91"/>
    </row>
    <row r="11" spans="1:20" ht="15.5" x14ac:dyDescent="0.35">
      <c r="A11" s="61" t="s">
        <v>27</v>
      </c>
      <c r="B11" s="98">
        <v>46557</v>
      </c>
      <c r="C11" s="85">
        <f>IF(MarineExpirationDates[[#This Row],[ExpirationDates]]="Expired", "Expired",MarineExpirationDates[[#This Row],[ExpirationDates]]-14)</f>
        <v>46543</v>
      </c>
      <c r="D11" s="85" t="str">
        <f ca="1">IF(MarineExpirationDates[[#This Row],[14 Day]]&lt;=$T$2,"Yes","No")</f>
        <v>No</v>
      </c>
      <c r="E11" s="85">
        <f>IF(MarineExpirationDates[[#This Row],[ExpirationDates]]="Expired", "Expired",MarineExpirationDates[[#This Row],[ExpirationDates]]-30)</f>
        <v>46527</v>
      </c>
      <c r="F11" s="6" t="str">
        <f ca="1">IF(MarineExpirationDates[[#This Row],[30 Day]]&lt;=$T$2,"Yes","No")</f>
        <v>No</v>
      </c>
      <c r="G11" s="88">
        <f>IF(MarineExpirationDates[[#This Row],[ExpirationDates]]="Expired","Expired",MarineExpirationDates[[#This Row],[ExpirationDates]]-120)</f>
        <v>46437</v>
      </c>
      <c r="H11" s="6" t="str">
        <f ca="1">IF(MarineExpirationDates[[#This Row],[120 Day]]&lt;=$T$2,"Yes","No")</f>
        <v>No</v>
      </c>
      <c r="I11" s="6"/>
      <c r="J11" s="6"/>
      <c r="K11" s="6"/>
      <c r="L11" s="6"/>
      <c r="M11" s="6"/>
      <c r="N11" s="6"/>
      <c r="O11" s="6"/>
      <c r="P11" s="6"/>
      <c r="Q11" s="92"/>
    </row>
    <row r="12" spans="1:20" ht="15.5" x14ac:dyDescent="0.35">
      <c r="A12" s="76" t="s">
        <v>148</v>
      </c>
      <c r="B12" s="96">
        <v>45976</v>
      </c>
      <c r="C12" s="87">
        <f>IF(MarineExpirationDates[[#This Row],[ExpirationDates]]="Expired", "Expired",MarineExpirationDates[[#This Row],[ExpirationDates]]-14)</f>
        <v>45962</v>
      </c>
      <c r="D12" s="87" t="str">
        <f ca="1">IF(MarineExpirationDates[[#This Row],[14 Day]]&lt;=$T$2,"Yes","No")</f>
        <v>Yes</v>
      </c>
      <c r="E12" s="84">
        <f>IF(MarineExpirationDates[[#This Row],[ExpirationDates]]="Expired", "Expired",MarineExpirationDates[[#This Row],[ExpirationDates]]-30)</f>
        <v>45946</v>
      </c>
      <c r="F12" s="4" t="str">
        <f ca="1">IF(MarineExpirationDates[[#This Row],[30 Day]]&lt;=$T$2,"Yes","No")</f>
        <v>Yes</v>
      </c>
      <c r="G12" s="87">
        <f>IF(MarineExpirationDates[[#This Row],[ExpirationDates]]="Expired","Expired",MarineExpirationDates[[#This Row],[ExpirationDates]]-120)</f>
        <v>45856</v>
      </c>
      <c r="H12" s="4" t="str">
        <f ca="1">IF(MarineExpirationDates[[#This Row],[120 Day]]&lt;=$T$2,"Yes","No")</f>
        <v>Yes</v>
      </c>
      <c r="I12" s="4"/>
      <c r="J12" s="4"/>
      <c r="K12" s="4"/>
      <c r="L12" s="90"/>
      <c r="M12" s="90"/>
      <c r="N12" s="4"/>
      <c r="O12" s="4"/>
      <c r="P12" s="4"/>
      <c r="Q12" s="91"/>
      <c r="S12" s="80"/>
      <c r="T12" s="81"/>
    </row>
    <row r="13" spans="1:20" ht="15.5" x14ac:dyDescent="0.35">
      <c r="A13" s="61" t="s">
        <v>149</v>
      </c>
      <c r="B13" s="98">
        <v>45886</v>
      </c>
      <c r="C13" s="85">
        <f>IF(MarineExpirationDates[[#This Row],[ExpirationDates]]="Expired", "Expired",MarineExpirationDates[[#This Row],[ExpirationDates]]-14)</f>
        <v>45872</v>
      </c>
      <c r="D13" s="85" t="str">
        <f ca="1">IF(MarineExpirationDates[[#This Row],[14 Day]]&lt;=$T$2,"Yes","No")</f>
        <v>Yes</v>
      </c>
      <c r="E13" s="85">
        <f>IF(MarineExpirationDates[[#This Row],[ExpirationDates]]="Expired", "Expired",MarineExpirationDates[[#This Row],[ExpirationDates]]-30)</f>
        <v>45856</v>
      </c>
      <c r="F13" s="6" t="str">
        <f ca="1">IF(MarineExpirationDates[[#This Row],[30 Day]]&lt;=$T$2,"Yes","No")</f>
        <v>Yes</v>
      </c>
      <c r="G13" s="88">
        <f>IF(MarineExpirationDates[[#This Row],[ExpirationDates]]="Expired","Expired",MarineExpirationDates[[#This Row],[ExpirationDates]]-120)</f>
        <v>45766</v>
      </c>
      <c r="H13" s="6" t="str">
        <f ca="1">IF(MarineExpirationDates[[#This Row],[120 Day]]&lt;=$T$2,"Yes","No")</f>
        <v>Yes</v>
      </c>
      <c r="I13" s="6"/>
      <c r="J13" s="6"/>
      <c r="K13" s="6"/>
      <c r="L13" s="6"/>
      <c r="M13" s="6"/>
      <c r="N13" s="6"/>
      <c r="O13" s="6"/>
      <c r="P13" s="6"/>
      <c r="Q13" s="92"/>
    </row>
    <row r="14" spans="1:20" ht="15.5" x14ac:dyDescent="0.35">
      <c r="A14" s="61" t="s">
        <v>150</v>
      </c>
      <c r="B14" s="98">
        <v>45870</v>
      </c>
      <c r="C14" s="85">
        <f>IF(MarineExpirationDates[[#This Row],[ExpirationDates]]="Expired", "Expired",MarineExpirationDates[[#This Row],[ExpirationDates]]-14)</f>
        <v>45856</v>
      </c>
      <c r="D14" s="85" t="str">
        <f ca="1">IF(MarineExpirationDates[[#This Row],[14 Day]]&lt;=$T$2,"Yes","No")</f>
        <v>Yes</v>
      </c>
      <c r="E14" s="85">
        <f>IF(MarineExpirationDates[[#This Row],[ExpirationDates]]="Expired", "Expired",MarineExpirationDates[[#This Row],[ExpirationDates]]-30)</f>
        <v>45840</v>
      </c>
      <c r="F14" s="6" t="str">
        <f ca="1">IF(MarineExpirationDates[[#This Row],[30 Day]]&lt;=$T$2,"Yes","No")</f>
        <v>Yes</v>
      </c>
      <c r="G14" s="88">
        <f>IF(MarineExpirationDates[[#This Row],[ExpirationDates]]="Expired","Expired",MarineExpirationDates[[#This Row],[ExpirationDates]]-120)</f>
        <v>45750</v>
      </c>
      <c r="H14" s="6" t="str">
        <f ca="1">IF(MarineExpirationDates[[#This Row],[120 Day]]&lt;=$T$2,"Yes","No")</f>
        <v>Yes</v>
      </c>
      <c r="I14" s="6"/>
      <c r="J14" s="6"/>
      <c r="K14" s="6"/>
      <c r="L14" s="6"/>
      <c r="M14" s="6"/>
      <c r="N14" s="6"/>
      <c r="O14" s="6"/>
      <c r="P14" s="6"/>
      <c r="Q14" s="92"/>
    </row>
  </sheetData>
  <sheetProtection algorithmName="SHA-512" hashValue="sZmsYzqvXEXO+28QzhGXanZb2RhzrKD1HRwtXkyb6ollhDSUH62fekbvHktOCBF/7hmudNoWaBB8c/kBMb0aVA==" saltValue="ovTNHo7V0CfyBjvptNFIFg==" spinCount="100000" sheet="1" objects="1" scenarios="1"/>
  <phoneticPr fontId="20" type="noConversion"/>
  <conditionalFormatting sqref="B1:B1048576">
    <cfRule type="expression" dxfId="5" priority="6">
      <formula>"Expired"</formula>
    </cfRule>
    <cfRule type="cellIs" dxfId="4" priority="7" operator="lessThanOrEqual">
      <formula>$T$2</formula>
    </cfRule>
    <cfRule type="expression" dxfId="3" priority="8">
      <formula>$D1="Yes"</formula>
    </cfRule>
    <cfRule type="expression" dxfId="2" priority="9">
      <formula>$F1="Yes"</formula>
    </cfRule>
    <cfRule type="expression" dxfId="1" priority="10">
      <formula>$H1="Yes"</formula>
    </cfRule>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5B40D-2A01-4A7C-952A-D5C3178374EA}">
  <dimension ref="A1:J119"/>
  <sheetViews>
    <sheetView zoomScale="80" zoomScaleNormal="80" workbookViewId="0">
      <selection activeCell="F5" sqref="F5"/>
    </sheetView>
  </sheetViews>
  <sheetFormatPr defaultColWidth="0" defaultRowHeight="14.5" zeroHeight="1" x14ac:dyDescent="0.35"/>
  <cols>
    <col min="1" max="1" width="5.26953125" customWidth="1"/>
    <col min="2" max="2" width="43.54296875" customWidth="1"/>
    <col min="3" max="3" width="22.26953125" customWidth="1"/>
    <col min="4" max="4" width="29" customWidth="1"/>
    <col min="5" max="5" width="21.26953125" customWidth="1"/>
    <col min="6" max="6" width="26.1796875" customWidth="1"/>
    <col min="7" max="9" width="21.26953125" customWidth="1"/>
    <col min="10" max="10" width="24.81640625" customWidth="1"/>
    <col min="11" max="16384" width="9.1796875" hidden="1"/>
  </cols>
  <sheetData>
    <row r="1" spans="1:10" x14ac:dyDescent="0.35">
      <c r="A1" s="45"/>
      <c r="B1" s="45"/>
      <c r="C1" s="45"/>
      <c r="D1" s="45"/>
      <c r="E1" s="45"/>
      <c r="F1" s="45"/>
      <c r="G1" s="45"/>
      <c r="H1" s="45"/>
      <c r="I1" s="45"/>
      <c r="J1" s="45"/>
    </row>
    <row r="2" spans="1:10" x14ac:dyDescent="0.35">
      <c r="A2" s="45"/>
      <c r="B2" s="45"/>
      <c r="C2" s="45"/>
      <c r="D2" s="45"/>
      <c r="E2" s="45"/>
      <c r="F2" s="45"/>
      <c r="G2" s="45"/>
      <c r="H2" s="45"/>
      <c r="I2" s="45"/>
      <c r="J2" s="45"/>
    </row>
    <row r="3" spans="1:10" ht="21" x14ac:dyDescent="0.5">
      <c r="A3" s="45"/>
      <c r="B3" s="108" t="s">
        <v>9</v>
      </c>
      <c r="C3" s="108"/>
      <c r="D3" s="108"/>
      <c r="E3" s="108"/>
      <c r="F3" s="108"/>
      <c r="G3" s="108"/>
      <c r="H3" s="108"/>
      <c r="I3" s="45"/>
      <c r="J3" s="45"/>
    </row>
    <row r="4" spans="1:10" ht="15.5" x14ac:dyDescent="0.35">
      <c r="A4" s="45"/>
      <c r="B4" s="114" t="s">
        <v>10</v>
      </c>
      <c r="C4" s="114"/>
      <c r="D4" s="114"/>
      <c r="E4" s="114"/>
      <c r="F4" s="114"/>
      <c r="G4" s="114"/>
      <c r="H4" s="114"/>
      <c r="I4" s="45"/>
      <c r="J4" s="45"/>
    </row>
    <row r="5" spans="1:10" ht="15.5" x14ac:dyDescent="0.35">
      <c r="A5" s="45"/>
      <c r="B5" s="45"/>
      <c r="C5" s="45"/>
      <c r="D5" s="45"/>
      <c r="E5" s="45"/>
      <c r="F5" s="72" t="s">
        <v>154</v>
      </c>
      <c r="G5" s="45"/>
      <c r="H5" s="71" t="s">
        <v>93</v>
      </c>
      <c r="I5" s="45"/>
      <c r="J5" s="45"/>
    </row>
    <row r="6" spans="1:10" ht="18.5" x14ac:dyDescent="0.45">
      <c r="A6" s="45"/>
      <c r="B6" s="124" t="s">
        <v>11</v>
      </c>
      <c r="C6" s="125"/>
      <c r="D6" s="125"/>
      <c r="E6" s="125"/>
      <c r="F6" s="125"/>
      <c r="G6" s="125"/>
      <c r="H6" s="126"/>
      <c r="I6" s="45"/>
      <c r="J6" s="45"/>
    </row>
    <row r="7" spans="1:10" ht="62.15" customHeight="1" x14ac:dyDescent="0.35">
      <c r="A7" s="45"/>
      <c r="B7" s="24" t="s">
        <v>12</v>
      </c>
      <c r="C7" s="24" t="s">
        <v>13</v>
      </c>
      <c r="D7" s="25" t="s">
        <v>14</v>
      </c>
      <c r="E7" s="25" t="s">
        <v>15</v>
      </c>
      <c r="F7" s="25" t="s">
        <v>16</v>
      </c>
      <c r="G7" s="25" t="s">
        <v>17</v>
      </c>
      <c r="H7" s="25" t="s">
        <v>18</v>
      </c>
      <c r="I7" s="45"/>
      <c r="J7" s="45"/>
    </row>
    <row r="8" spans="1:10" ht="15.65" customHeight="1" x14ac:dyDescent="0.35">
      <c r="A8" s="45"/>
      <c r="B8" s="62" t="s">
        <v>19</v>
      </c>
      <c r="C8" s="63">
        <f>_xlfn.XLOOKUP(ACP1NorthCoast31[[#This Row],[OSRO Name]],ExpirationDates!A:A,ExpirationDates!B:B,"ERROR")</f>
        <v>46451</v>
      </c>
      <c r="D8" s="64" t="s">
        <v>94</v>
      </c>
      <c r="E8" s="64" t="s">
        <v>94</v>
      </c>
      <c r="F8" s="64" t="s">
        <v>94</v>
      </c>
      <c r="G8" s="64" t="s">
        <v>94</v>
      </c>
      <c r="H8" s="64" t="s">
        <v>94</v>
      </c>
      <c r="I8" s="45"/>
      <c r="J8" s="45"/>
    </row>
    <row r="9" spans="1:10" ht="15.65" customHeight="1" x14ac:dyDescent="0.35">
      <c r="A9" s="45"/>
      <c r="B9" s="62" t="s">
        <v>20</v>
      </c>
      <c r="C9" s="63">
        <f>_xlfn.XLOOKUP(ACP1NorthCoast31[[#This Row],[OSRO Name]],ExpirationDates!A:A,ExpirationDates!B:B,"ERROR")</f>
        <v>46256</v>
      </c>
      <c r="D9" s="64" t="s">
        <v>94</v>
      </c>
      <c r="E9" s="64" t="s">
        <v>94</v>
      </c>
      <c r="F9" s="64" t="s">
        <v>94</v>
      </c>
      <c r="G9" s="64" t="s">
        <v>94</v>
      </c>
      <c r="H9" s="64" t="s">
        <v>94</v>
      </c>
      <c r="I9" s="45"/>
      <c r="J9" s="45"/>
    </row>
    <row r="10" spans="1:10" ht="15.5" x14ac:dyDescent="0.35">
      <c r="A10" s="45"/>
      <c r="B10" s="26" t="s">
        <v>21</v>
      </c>
      <c r="C10" s="63">
        <f>_xlfn.XLOOKUP(ACP1NorthCoast31[[#This Row],[OSRO Name]],ExpirationDates!A:A,ExpirationDates!B:B,"ERROR")</f>
        <v>46550</v>
      </c>
      <c r="D10" s="4" t="s">
        <v>95</v>
      </c>
      <c r="E10" s="4" t="s">
        <v>96</v>
      </c>
      <c r="F10" s="4" t="s">
        <v>96</v>
      </c>
      <c r="G10" s="4" t="s">
        <v>97</v>
      </c>
      <c r="H10" s="4" t="s">
        <v>97</v>
      </c>
      <c r="I10" s="45"/>
      <c r="J10" s="45"/>
    </row>
    <row r="11" spans="1:10" ht="15" customHeight="1" x14ac:dyDescent="0.35">
      <c r="A11" s="45"/>
      <c r="B11" s="26" t="s">
        <v>22</v>
      </c>
      <c r="C11" s="63">
        <f>_xlfn.XLOOKUP(ACP1NorthCoast31[[#This Row],[OSRO Name]],ExpirationDates!A:A,ExpirationDates!B:B,"ERROR")</f>
        <v>47273</v>
      </c>
      <c r="D11" s="4" t="s">
        <v>95</v>
      </c>
      <c r="E11" s="4" t="s">
        <v>151</v>
      </c>
      <c r="F11" s="4" t="s">
        <v>151</v>
      </c>
      <c r="G11" s="4" t="s">
        <v>151</v>
      </c>
      <c r="H11" s="4" t="s">
        <v>151</v>
      </c>
      <c r="I11" s="45"/>
      <c r="J11" s="45"/>
    </row>
    <row r="12" spans="1:10" ht="15.65" customHeight="1" x14ac:dyDescent="0.35">
      <c r="A12" s="45"/>
      <c r="B12" s="62" t="s">
        <v>23</v>
      </c>
      <c r="C12" s="63">
        <f>_xlfn.XLOOKUP(ACP1NorthCoast31[[#This Row],[OSRO Name]],ExpirationDates!A:A,ExpirationDates!B:B,"ERROR")</f>
        <v>45338</v>
      </c>
      <c r="D12" s="64" t="s">
        <v>94</v>
      </c>
      <c r="E12" s="64" t="s">
        <v>94</v>
      </c>
      <c r="F12" s="64" t="s">
        <v>94</v>
      </c>
      <c r="G12" s="64" t="s">
        <v>94</v>
      </c>
      <c r="H12" s="64" t="s">
        <v>94</v>
      </c>
      <c r="I12" s="45"/>
      <c r="J12" s="45"/>
    </row>
    <row r="13" spans="1:10" ht="15.65" customHeight="1" x14ac:dyDescent="0.35">
      <c r="A13" s="45"/>
      <c r="B13" s="62" t="s">
        <v>24</v>
      </c>
      <c r="C13" s="63">
        <f>_xlfn.XLOOKUP(ACP1NorthCoast31[[#This Row],[OSRO Name]],ExpirationDates!A:A,ExpirationDates!B:B,"ERROR")</f>
        <v>46286</v>
      </c>
      <c r="D13" s="64" t="s">
        <v>94</v>
      </c>
      <c r="E13" s="64" t="s">
        <v>94</v>
      </c>
      <c r="F13" s="64" t="s">
        <v>94</v>
      </c>
      <c r="G13" s="64" t="s">
        <v>94</v>
      </c>
      <c r="H13" s="64" t="s">
        <v>94</v>
      </c>
      <c r="I13" s="45"/>
      <c r="J13" s="45"/>
    </row>
    <row r="14" spans="1:10" ht="15.65" customHeight="1" x14ac:dyDescent="0.35">
      <c r="A14" s="45"/>
      <c r="B14" s="62" t="s">
        <v>25</v>
      </c>
      <c r="C14" s="63">
        <f>_xlfn.XLOOKUP(ACP1NorthCoast31[[#This Row],[OSRO Name]],ExpirationDates!A:A,ExpirationDates!B:B,"ERROR")</f>
        <v>46550</v>
      </c>
      <c r="D14" s="64" t="s">
        <v>94</v>
      </c>
      <c r="E14" s="64" t="s">
        <v>94</v>
      </c>
      <c r="F14" s="64" t="s">
        <v>94</v>
      </c>
      <c r="G14" s="64" t="s">
        <v>94</v>
      </c>
      <c r="H14" s="64" t="s">
        <v>94</v>
      </c>
      <c r="I14" s="45"/>
      <c r="J14" s="45"/>
    </row>
    <row r="15" spans="1:10" ht="15.65" customHeight="1" x14ac:dyDescent="0.35">
      <c r="A15" s="45"/>
      <c r="B15" s="62" t="s">
        <v>26</v>
      </c>
      <c r="C15" s="63" t="str">
        <f>_xlfn.XLOOKUP(ACP1NorthCoast31[[#This Row],[OSRO Name]],ExpirationDates!A:A,ExpirationDates!B:B,"ERROR")</f>
        <v>Expired</v>
      </c>
      <c r="D15" s="64" t="s">
        <v>94</v>
      </c>
      <c r="E15" s="64" t="s">
        <v>94</v>
      </c>
      <c r="F15" s="64" t="s">
        <v>94</v>
      </c>
      <c r="G15" s="64" t="s">
        <v>94</v>
      </c>
      <c r="H15" s="64" t="s">
        <v>94</v>
      </c>
      <c r="I15" s="45"/>
      <c r="J15" s="45"/>
    </row>
    <row r="16" spans="1:10" ht="15" customHeight="1" x14ac:dyDescent="0.35">
      <c r="A16" s="45"/>
      <c r="B16" s="62" t="s">
        <v>27</v>
      </c>
      <c r="C16" s="63">
        <f>_xlfn.XLOOKUP(ACP1NorthCoast31[[#This Row],[OSRO Name]],ExpirationDates!A:A,ExpirationDates!B:B,"ERROR")</f>
        <v>46557</v>
      </c>
      <c r="D16" s="64" t="s">
        <v>94</v>
      </c>
      <c r="E16" s="64" t="s">
        <v>94</v>
      </c>
      <c r="F16" s="64" t="s">
        <v>94</v>
      </c>
      <c r="G16" s="64" t="s">
        <v>94</v>
      </c>
      <c r="H16" s="64" t="s">
        <v>94</v>
      </c>
      <c r="I16" s="45"/>
      <c r="J16" s="45"/>
    </row>
    <row r="17" spans="1:10" ht="15.5" x14ac:dyDescent="0.35">
      <c r="A17" s="45"/>
      <c r="B17" s="46"/>
      <c r="C17" s="49"/>
      <c r="D17" s="50"/>
      <c r="E17" s="50"/>
      <c r="F17" s="50"/>
      <c r="G17" s="50"/>
      <c r="H17" s="50"/>
      <c r="I17" s="45"/>
      <c r="J17" s="45"/>
    </row>
    <row r="18" spans="1:10" ht="15.65" customHeight="1" x14ac:dyDescent="0.35">
      <c r="A18" s="45"/>
      <c r="B18" s="45"/>
      <c r="C18" s="45"/>
      <c r="D18" s="45"/>
      <c r="E18" s="45"/>
      <c r="F18" s="45"/>
      <c r="G18" s="45"/>
      <c r="H18" s="45"/>
      <c r="I18" s="45"/>
      <c r="J18" s="45"/>
    </row>
    <row r="19" spans="1:10" ht="18.5" x14ac:dyDescent="0.35">
      <c r="A19" s="45"/>
      <c r="B19" s="109" t="s">
        <v>28</v>
      </c>
      <c r="C19" s="109"/>
      <c r="D19" s="109"/>
      <c r="E19" s="109"/>
      <c r="F19" s="109"/>
      <c r="G19" s="109"/>
      <c r="H19" s="109"/>
      <c r="I19" s="109"/>
      <c r="J19" s="45"/>
    </row>
    <row r="20" spans="1:10" ht="46.5" x14ac:dyDescent="0.35">
      <c r="A20" s="45"/>
      <c r="B20" s="29" t="s">
        <v>12</v>
      </c>
      <c r="C20" s="28" t="s">
        <v>13</v>
      </c>
      <c r="D20" s="28" t="s">
        <v>14</v>
      </c>
      <c r="E20" s="28" t="s">
        <v>29</v>
      </c>
      <c r="F20" s="28" t="s">
        <v>30</v>
      </c>
      <c r="G20" s="28" t="s">
        <v>31</v>
      </c>
      <c r="H20" s="28" t="s">
        <v>32</v>
      </c>
      <c r="I20" s="28" t="s">
        <v>33</v>
      </c>
      <c r="J20" s="45"/>
    </row>
    <row r="21" spans="1:10" ht="15.5" x14ac:dyDescent="0.35">
      <c r="A21" s="45"/>
      <c r="B21" s="27" t="s">
        <v>19</v>
      </c>
      <c r="C21" s="63">
        <f>_xlfn.XLOOKUP(ACP2SanFranciscoBayandDeltaPart124[[#This Row],[OSRO Name]],ExpirationDates!A:A,ExpirationDates!B:B,"ERROR")</f>
        <v>46451</v>
      </c>
      <c r="D21" s="12" t="s">
        <v>94</v>
      </c>
      <c r="E21" s="12" t="s">
        <v>94</v>
      </c>
      <c r="F21" s="12" t="s">
        <v>94</v>
      </c>
      <c r="G21" s="4" t="s">
        <v>98</v>
      </c>
      <c r="H21" s="4" t="s">
        <v>98</v>
      </c>
      <c r="I21" s="4" t="s">
        <v>98</v>
      </c>
      <c r="J21" s="45"/>
    </row>
    <row r="22" spans="1:10" ht="15.5" x14ac:dyDescent="0.35">
      <c r="A22" s="45"/>
      <c r="B22" s="27" t="s">
        <v>20</v>
      </c>
      <c r="C22" s="63">
        <f>_xlfn.XLOOKUP(ACP2SanFranciscoBayandDeltaPart124[[#This Row],[OSRO Name]],ExpirationDates!A:A,ExpirationDates!B:B,"ERROR")</f>
        <v>46256</v>
      </c>
      <c r="D22" s="12" t="s">
        <v>94</v>
      </c>
      <c r="E22" s="12" t="s">
        <v>94</v>
      </c>
      <c r="F22" s="4" t="s">
        <v>99</v>
      </c>
      <c r="G22" s="4" t="s">
        <v>99</v>
      </c>
      <c r="H22" s="4" t="s">
        <v>99</v>
      </c>
      <c r="I22" s="4" t="s">
        <v>99</v>
      </c>
      <c r="J22" s="45"/>
    </row>
    <row r="23" spans="1:10" ht="15.5" x14ac:dyDescent="0.35">
      <c r="A23" s="45"/>
      <c r="B23" s="30" t="s">
        <v>21</v>
      </c>
      <c r="C23" s="63">
        <f>_xlfn.XLOOKUP(ACP2SanFranciscoBayandDeltaPart124[[#This Row],[OSRO Name]],ExpirationDates!A:A,ExpirationDates!B:B,"ERROR")</f>
        <v>46550</v>
      </c>
      <c r="D23" s="2" t="s">
        <v>100</v>
      </c>
      <c r="E23" s="3" t="s">
        <v>101</v>
      </c>
      <c r="F23" s="3" t="s">
        <v>101</v>
      </c>
      <c r="G23" s="4" t="s">
        <v>96</v>
      </c>
      <c r="H23" s="4" t="s">
        <v>96</v>
      </c>
      <c r="I23" s="4" t="s">
        <v>96</v>
      </c>
      <c r="J23" s="45"/>
    </row>
    <row r="24" spans="1:10" ht="15.5" x14ac:dyDescent="0.35">
      <c r="A24" s="45"/>
      <c r="B24" s="27" t="s">
        <v>22</v>
      </c>
      <c r="C24" s="63">
        <f>_xlfn.XLOOKUP(ACP2SanFranciscoBayandDeltaPart124[[#This Row],[OSRO Name]],ExpirationDates!A:A,ExpirationDates!B:B,"ERROR")</f>
        <v>47273</v>
      </c>
      <c r="D24" s="2" t="s">
        <v>102</v>
      </c>
      <c r="E24" s="3" t="s">
        <v>101</v>
      </c>
      <c r="F24" s="3" t="s">
        <v>101</v>
      </c>
      <c r="G24" s="2" t="s">
        <v>152</v>
      </c>
      <c r="H24" s="4" t="s">
        <v>96</v>
      </c>
      <c r="I24" s="4" t="s">
        <v>96</v>
      </c>
      <c r="J24" s="45"/>
    </row>
    <row r="25" spans="1:10" ht="15.5" x14ac:dyDescent="0.35">
      <c r="A25" s="45"/>
      <c r="B25" s="65" t="s">
        <v>23</v>
      </c>
      <c r="C25" s="63">
        <f>_xlfn.XLOOKUP(ACP2SanFranciscoBayandDeltaPart124[[#This Row],[OSRO Name]],ExpirationDates!A:A,ExpirationDates!B:B,"ERROR")</f>
        <v>45338</v>
      </c>
      <c r="D25" s="66" t="s">
        <v>94</v>
      </c>
      <c r="E25" s="66" t="s">
        <v>94</v>
      </c>
      <c r="F25" s="66" t="s">
        <v>94</v>
      </c>
      <c r="G25" s="66" t="s">
        <v>94</v>
      </c>
      <c r="H25" s="66" t="s">
        <v>94</v>
      </c>
      <c r="I25" s="66" t="s">
        <v>94</v>
      </c>
      <c r="J25" s="45"/>
    </row>
    <row r="26" spans="1:10" ht="17.5" x14ac:dyDescent="0.45">
      <c r="A26" s="45"/>
      <c r="B26" s="27" t="s">
        <v>24</v>
      </c>
      <c r="C26" s="63">
        <f>_xlfn.XLOOKUP(ACP2SanFranciscoBayandDeltaPart124[[#This Row],[OSRO Name]],ExpirationDates!A:A,ExpirationDates!B:B,"ERROR")</f>
        <v>46286</v>
      </c>
      <c r="D26" s="12" t="s">
        <v>94</v>
      </c>
      <c r="E26" s="12" t="s">
        <v>94</v>
      </c>
      <c r="F26" s="12" t="s">
        <v>94</v>
      </c>
      <c r="G26" s="4" t="s">
        <v>104</v>
      </c>
      <c r="H26" s="4" t="s">
        <v>104</v>
      </c>
      <c r="I26" s="4" t="s">
        <v>104</v>
      </c>
      <c r="J26" s="45"/>
    </row>
    <row r="27" spans="1:10" ht="14.5" customHeight="1" x14ac:dyDescent="0.35">
      <c r="A27" s="45"/>
      <c r="B27" s="65" t="s">
        <v>25</v>
      </c>
      <c r="C27" s="63">
        <f>_xlfn.XLOOKUP(ACP2SanFranciscoBayandDeltaPart124[[#This Row],[OSRO Name]],ExpirationDates!A:A,ExpirationDates!B:B,"ERROR")</f>
        <v>46550</v>
      </c>
      <c r="D27" s="66" t="s">
        <v>94</v>
      </c>
      <c r="E27" s="66" t="s">
        <v>94</v>
      </c>
      <c r="F27" s="66" t="s">
        <v>94</v>
      </c>
      <c r="G27" s="66" t="s">
        <v>94</v>
      </c>
      <c r="H27" s="66" t="s">
        <v>94</v>
      </c>
      <c r="I27" s="66" t="s">
        <v>94</v>
      </c>
      <c r="J27" s="45"/>
    </row>
    <row r="28" spans="1:10" ht="15.5" x14ac:dyDescent="0.35">
      <c r="A28" s="45"/>
      <c r="B28" s="27" t="s">
        <v>26</v>
      </c>
      <c r="C28" s="63" t="str">
        <f>_xlfn.XLOOKUP(ACP2SanFranciscoBayandDeltaPart124[[#This Row],[OSRO Name]],ExpirationDates!A:A,ExpirationDates!B:B,"ERROR")</f>
        <v>Expired</v>
      </c>
      <c r="D28" s="12" t="s">
        <v>94</v>
      </c>
      <c r="E28" s="12" t="s">
        <v>94</v>
      </c>
      <c r="F28" s="12" t="s">
        <v>94</v>
      </c>
      <c r="G28" s="12" t="s">
        <v>94</v>
      </c>
      <c r="H28" s="12" t="s">
        <v>94</v>
      </c>
      <c r="I28" s="4" t="s">
        <v>105</v>
      </c>
      <c r="J28" s="45"/>
    </row>
    <row r="29" spans="1:10" ht="15.5" x14ac:dyDescent="0.35">
      <c r="A29" s="45"/>
      <c r="B29" s="65" t="s">
        <v>27</v>
      </c>
      <c r="C29" s="63">
        <f>_xlfn.XLOOKUP(ACP2SanFranciscoBayandDeltaPart124[[#This Row],[OSRO Name]],ExpirationDates!A:A,ExpirationDates!B:B,"ERROR")</f>
        <v>46557</v>
      </c>
      <c r="D29" s="66" t="s">
        <v>94</v>
      </c>
      <c r="E29" s="66" t="s">
        <v>94</v>
      </c>
      <c r="F29" s="66" t="s">
        <v>94</v>
      </c>
      <c r="G29" s="66" t="s">
        <v>94</v>
      </c>
      <c r="H29" s="66" t="s">
        <v>94</v>
      </c>
      <c r="I29" s="66" t="s">
        <v>94</v>
      </c>
      <c r="J29" s="45"/>
    </row>
    <row r="30" spans="1:10" ht="15.5" x14ac:dyDescent="0.35">
      <c r="A30" s="45"/>
      <c r="B30" s="51"/>
      <c r="C30" s="47"/>
      <c r="D30" s="48"/>
      <c r="E30" s="48"/>
      <c r="F30" s="48"/>
      <c r="G30" s="48"/>
      <c r="H30" s="48"/>
      <c r="I30" s="48"/>
      <c r="J30" s="45"/>
    </row>
    <row r="31" spans="1:10" ht="15.65" customHeight="1" x14ac:dyDescent="0.35">
      <c r="A31" s="45"/>
      <c r="B31" s="51"/>
      <c r="C31" s="47"/>
      <c r="D31" s="48"/>
      <c r="E31" s="48"/>
      <c r="F31" s="48"/>
      <c r="G31" s="48"/>
      <c r="H31" s="48"/>
      <c r="I31" s="48"/>
      <c r="J31" s="45"/>
    </row>
    <row r="32" spans="1:10" ht="18.5" x14ac:dyDescent="0.35">
      <c r="A32" s="45"/>
      <c r="B32" s="109" t="s">
        <v>34</v>
      </c>
      <c r="C32" s="109"/>
      <c r="D32" s="109"/>
      <c r="E32" s="109"/>
      <c r="F32" s="109"/>
      <c r="G32" s="109"/>
      <c r="H32" s="109"/>
      <c r="I32" s="109"/>
      <c r="J32" s="45"/>
    </row>
    <row r="33" spans="1:10" ht="62.15" customHeight="1" x14ac:dyDescent="0.35">
      <c r="A33" s="45"/>
      <c r="B33" s="24" t="s">
        <v>12</v>
      </c>
      <c r="C33" s="31" t="s">
        <v>13</v>
      </c>
      <c r="D33" s="32" t="s">
        <v>14</v>
      </c>
      <c r="E33" s="32" t="s">
        <v>35</v>
      </c>
      <c r="F33" s="32" t="s">
        <v>36</v>
      </c>
      <c r="G33" s="32" t="s">
        <v>37</v>
      </c>
      <c r="H33" s="32" t="s">
        <v>38</v>
      </c>
      <c r="I33" s="32" t="s">
        <v>39</v>
      </c>
      <c r="J33" s="45"/>
    </row>
    <row r="34" spans="1:10" ht="15.5" x14ac:dyDescent="0.35">
      <c r="A34" s="45"/>
      <c r="B34" s="27" t="s">
        <v>19</v>
      </c>
      <c r="C34" s="67">
        <f>_xlfn.XLOOKUP(ACP2SanFranciscoBayandDeltaPart229[[#This Row],[OSRO Name]],ExpirationDates!A:A,ExpirationDates!B:B,"ERROR")</f>
        <v>46451</v>
      </c>
      <c r="D34" s="12" t="s">
        <v>94</v>
      </c>
      <c r="E34" s="4" t="s">
        <v>98</v>
      </c>
      <c r="F34" s="4" t="s">
        <v>98</v>
      </c>
      <c r="G34" s="4" t="s">
        <v>98</v>
      </c>
      <c r="H34" s="4" t="s">
        <v>98</v>
      </c>
      <c r="I34" s="4" t="s">
        <v>98</v>
      </c>
      <c r="J34" s="45"/>
    </row>
    <row r="35" spans="1:10" ht="15.5" x14ac:dyDescent="0.35">
      <c r="A35" s="45"/>
      <c r="B35" s="27" t="s">
        <v>20</v>
      </c>
      <c r="C35" s="67">
        <f>_xlfn.XLOOKUP(ACP2SanFranciscoBayandDeltaPart229[[#This Row],[OSRO Name]],ExpirationDates!A:A,ExpirationDates!B:B,"ERROR")</f>
        <v>46256</v>
      </c>
      <c r="D35" s="12" t="s">
        <v>94</v>
      </c>
      <c r="E35" s="12" t="s">
        <v>99</v>
      </c>
      <c r="F35" s="12" t="s">
        <v>99</v>
      </c>
      <c r="G35" s="12" t="s">
        <v>99</v>
      </c>
      <c r="H35" s="12" t="s">
        <v>99</v>
      </c>
      <c r="I35" s="12" t="s">
        <v>99</v>
      </c>
      <c r="J35" s="45"/>
    </row>
    <row r="36" spans="1:10" ht="15.5" x14ac:dyDescent="0.35">
      <c r="A36" s="45"/>
      <c r="B36" s="27" t="s">
        <v>21</v>
      </c>
      <c r="C36" s="67">
        <f>_xlfn.XLOOKUP(ACP2SanFranciscoBayandDeltaPart229[[#This Row],[OSRO Name]],ExpirationDates!A:A,ExpirationDates!B:B,"ERROR")</f>
        <v>46550</v>
      </c>
      <c r="D36" s="12" t="s">
        <v>100</v>
      </c>
      <c r="E36" s="4" t="s">
        <v>96</v>
      </c>
      <c r="F36" s="4" t="s">
        <v>96</v>
      </c>
      <c r="G36" s="12" t="s">
        <v>106</v>
      </c>
      <c r="H36" s="12" t="s">
        <v>101</v>
      </c>
      <c r="I36" s="12" t="s">
        <v>101</v>
      </c>
      <c r="J36" s="45"/>
    </row>
    <row r="37" spans="1:10" ht="15.5" x14ac:dyDescent="0.35">
      <c r="A37" s="45"/>
      <c r="B37" s="27" t="s">
        <v>22</v>
      </c>
      <c r="C37" s="67">
        <f>_xlfn.XLOOKUP(ACP2SanFranciscoBayandDeltaPart229[[#This Row],[OSRO Name]],ExpirationDates!A:A,ExpirationDates!B:B,"ERROR")</f>
        <v>47273</v>
      </c>
      <c r="D37" s="12" t="s">
        <v>102</v>
      </c>
      <c r="E37" s="4" t="s">
        <v>96</v>
      </c>
      <c r="F37" s="12" t="s">
        <v>101</v>
      </c>
      <c r="G37" s="12" t="s">
        <v>101</v>
      </c>
      <c r="H37" s="12" t="s">
        <v>101</v>
      </c>
      <c r="I37" s="12" t="s">
        <v>101</v>
      </c>
      <c r="J37" s="45"/>
    </row>
    <row r="38" spans="1:10" ht="15.5" x14ac:dyDescent="0.35">
      <c r="A38" s="45"/>
      <c r="B38" s="65" t="s">
        <v>23</v>
      </c>
      <c r="C38" s="67">
        <f>_xlfn.XLOOKUP(ACP2SanFranciscoBayandDeltaPart229[[#This Row],[OSRO Name]],ExpirationDates!A:A,ExpirationDates!B:B,"ERROR")</f>
        <v>45338</v>
      </c>
      <c r="D38" s="66" t="s">
        <v>94</v>
      </c>
      <c r="E38" s="66" t="s">
        <v>94</v>
      </c>
      <c r="F38" s="66" t="s">
        <v>94</v>
      </c>
      <c r="G38" s="66" t="s">
        <v>94</v>
      </c>
      <c r="H38" s="66" t="s">
        <v>94</v>
      </c>
      <c r="I38" s="66" t="s">
        <v>94</v>
      </c>
      <c r="J38" s="45"/>
    </row>
    <row r="39" spans="1:10" ht="17.5" x14ac:dyDescent="0.45">
      <c r="A39" s="45"/>
      <c r="B39" s="27" t="s">
        <v>24</v>
      </c>
      <c r="C39" s="67">
        <f>_xlfn.XLOOKUP(ACP2SanFranciscoBayandDeltaPart229[[#This Row],[OSRO Name]],ExpirationDates!A:A,ExpirationDates!B:B,"ERROR")</f>
        <v>46286</v>
      </c>
      <c r="D39" s="12" t="s">
        <v>94</v>
      </c>
      <c r="E39" s="4" t="s">
        <v>104</v>
      </c>
      <c r="F39" s="4" t="s">
        <v>104</v>
      </c>
      <c r="G39" s="4" t="s">
        <v>104</v>
      </c>
      <c r="H39" s="12" t="s">
        <v>94</v>
      </c>
      <c r="I39" s="4" t="s">
        <v>104</v>
      </c>
      <c r="J39" s="45"/>
    </row>
    <row r="40" spans="1:10" ht="15.5" x14ac:dyDescent="0.35">
      <c r="A40" s="45"/>
      <c r="B40" s="65" t="s">
        <v>25</v>
      </c>
      <c r="C40" s="67">
        <f>_xlfn.XLOOKUP(ACP2SanFranciscoBayandDeltaPart229[[#This Row],[OSRO Name]],ExpirationDates!A:A,ExpirationDates!B:B,"ERROR")</f>
        <v>46550</v>
      </c>
      <c r="D40" s="66" t="s">
        <v>94</v>
      </c>
      <c r="E40" s="66" t="s">
        <v>94</v>
      </c>
      <c r="F40" s="66" t="s">
        <v>94</v>
      </c>
      <c r="G40" s="66" t="s">
        <v>94</v>
      </c>
      <c r="H40" s="66" t="s">
        <v>94</v>
      </c>
      <c r="I40" s="66" t="s">
        <v>94</v>
      </c>
      <c r="J40" s="45"/>
    </row>
    <row r="41" spans="1:10" ht="15.5" x14ac:dyDescent="0.35">
      <c r="A41" s="45"/>
      <c r="B41" s="65" t="s">
        <v>26</v>
      </c>
      <c r="C41" s="67" t="str">
        <f>_xlfn.XLOOKUP(ACP2SanFranciscoBayandDeltaPart229[[#This Row],[OSRO Name]],ExpirationDates!A:A,ExpirationDates!B:B,"ERROR")</f>
        <v>Expired</v>
      </c>
      <c r="D41" s="66" t="s">
        <v>94</v>
      </c>
      <c r="E41" s="66" t="s">
        <v>94</v>
      </c>
      <c r="F41" s="66" t="s">
        <v>94</v>
      </c>
      <c r="G41" s="66" t="s">
        <v>94</v>
      </c>
      <c r="H41" s="66" t="s">
        <v>94</v>
      </c>
      <c r="I41" s="66" t="s">
        <v>94</v>
      </c>
      <c r="J41" s="45"/>
    </row>
    <row r="42" spans="1:10" ht="15.5" x14ac:dyDescent="0.35">
      <c r="A42" s="45"/>
      <c r="B42" s="65" t="s">
        <v>27</v>
      </c>
      <c r="C42" s="67">
        <f>_xlfn.XLOOKUP(ACP2SanFranciscoBayandDeltaPart229[[#This Row],[OSRO Name]],ExpirationDates!A:A,ExpirationDates!B:B,"ERROR")</f>
        <v>46557</v>
      </c>
      <c r="D42" s="66" t="s">
        <v>94</v>
      </c>
      <c r="E42" s="66" t="s">
        <v>94</v>
      </c>
      <c r="F42" s="66" t="s">
        <v>94</v>
      </c>
      <c r="G42" s="66" t="s">
        <v>94</v>
      </c>
      <c r="H42" s="66" t="s">
        <v>94</v>
      </c>
      <c r="I42" s="66" t="s">
        <v>94</v>
      </c>
      <c r="J42" s="45"/>
    </row>
    <row r="43" spans="1:10" x14ac:dyDescent="0.35">
      <c r="A43" s="45"/>
      <c r="B43" s="45"/>
      <c r="C43" s="45"/>
      <c r="D43" s="45"/>
      <c r="E43" s="45"/>
      <c r="F43" s="45"/>
      <c r="G43" s="45"/>
      <c r="H43" s="45"/>
      <c r="I43" s="45"/>
      <c r="J43" s="45"/>
    </row>
    <row r="44" spans="1:10" ht="15.5" x14ac:dyDescent="0.35">
      <c r="A44" s="45"/>
      <c r="B44" s="51"/>
      <c r="C44" s="47"/>
      <c r="D44" s="48"/>
      <c r="E44" s="48"/>
      <c r="F44" s="48"/>
      <c r="G44" s="48"/>
      <c r="H44" s="48"/>
      <c r="I44" s="48"/>
      <c r="J44" s="45"/>
    </row>
    <row r="45" spans="1:10" ht="18.649999999999999" customHeight="1" x14ac:dyDescent="0.35">
      <c r="A45" s="45"/>
      <c r="B45" s="110" t="s">
        <v>40</v>
      </c>
      <c r="C45" s="111"/>
      <c r="D45" s="111"/>
      <c r="E45" s="111"/>
      <c r="F45" s="111"/>
      <c r="G45" s="111"/>
      <c r="H45" s="111"/>
      <c r="I45" s="112"/>
      <c r="J45" s="45"/>
    </row>
    <row r="46" spans="1:10" ht="62.5" customHeight="1" x14ac:dyDescent="0.35">
      <c r="A46" s="45"/>
      <c r="B46" s="33" t="s">
        <v>12</v>
      </c>
      <c r="C46" s="34" t="s">
        <v>13</v>
      </c>
      <c r="D46" s="34" t="s">
        <v>14</v>
      </c>
      <c r="E46" s="34" t="s">
        <v>41</v>
      </c>
      <c r="F46" s="34" t="s">
        <v>42</v>
      </c>
      <c r="G46" s="34" t="s">
        <v>43</v>
      </c>
      <c r="H46" s="34" t="s">
        <v>44</v>
      </c>
      <c r="I46" s="34" t="s">
        <v>45</v>
      </c>
      <c r="J46" s="45"/>
    </row>
    <row r="47" spans="1:10" ht="15.5" x14ac:dyDescent="0.35">
      <c r="A47" s="45"/>
      <c r="B47" s="65" t="s">
        <v>19</v>
      </c>
      <c r="C47" s="67">
        <f>_xlfn.XLOOKUP(ACP3CentralCoast25[[#This Row],[OSRO Name]],ExpirationDates!A:A,ExpirationDates!B:B,"ERROR")</f>
        <v>46451</v>
      </c>
      <c r="D47" s="66" t="s">
        <v>94</v>
      </c>
      <c r="E47" s="66" t="s">
        <v>94</v>
      </c>
      <c r="F47" s="66" t="s">
        <v>94</v>
      </c>
      <c r="G47" s="66" t="s">
        <v>94</v>
      </c>
      <c r="H47" s="66" t="s">
        <v>94</v>
      </c>
      <c r="I47" s="66" t="s">
        <v>94</v>
      </c>
      <c r="J47" s="45"/>
    </row>
    <row r="48" spans="1:10" ht="15.5" x14ac:dyDescent="0.35">
      <c r="A48" s="45"/>
      <c r="B48" s="65" t="s">
        <v>20</v>
      </c>
      <c r="C48" s="67">
        <f>_xlfn.XLOOKUP(ACP3CentralCoast25[[#This Row],[OSRO Name]],ExpirationDates!A:A,ExpirationDates!B:B,"ERROR")</f>
        <v>46256</v>
      </c>
      <c r="D48" s="66" t="s">
        <v>94</v>
      </c>
      <c r="E48" s="66" t="s">
        <v>94</v>
      </c>
      <c r="F48" s="66" t="s">
        <v>94</v>
      </c>
      <c r="G48" s="66" t="s">
        <v>94</v>
      </c>
      <c r="H48" s="66" t="s">
        <v>94</v>
      </c>
      <c r="I48" s="66" t="s">
        <v>94</v>
      </c>
      <c r="J48" s="45"/>
    </row>
    <row r="49" spans="1:10" ht="15.5" x14ac:dyDescent="0.35">
      <c r="A49" s="45"/>
      <c r="B49" s="56" t="s">
        <v>21</v>
      </c>
      <c r="C49" s="67">
        <f>_xlfn.XLOOKUP(ACP3CentralCoast25[[#This Row],[OSRO Name]],ExpirationDates!A:A,ExpirationDates!B:B,"ERROR")</f>
        <v>46550</v>
      </c>
      <c r="D49" s="3" t="s">
        <v>107</v>
      </c>
      <c r="E49" s="3" t="s">
        <v>108</v>
      </c>
      <c r="F49" s="3" t="s">
        <v>108</v>
      </c>
      <c r="G49" s="3" t="s">
        <v>108</v>
      </c>
      <c r="H49" s="3" t="s">
        <v>108</v>
      </c>
      <c r="I49" s="3" t="s">
        <v>108</v>
      </c>
      <c r="J49" s="45"/>
    </row>
    <row r="50" spans="1:10" ht="15.5" x14ac:dyDescent="0.35">
      <c r="A50" s="45"/>
      <c r="B50" s="26" t="s">
        <v>22</v>
      </c>
      <c r="C50" s="67">
        <f>_xlfn.XLOOKUP(ACP3CentralCoast25[[#This Row],[OSRO Name]],ExpirationDates!A:A,ExpirationDates!B:B,"ERROR")</f>
        <v>47273</v>
      </c>
      <c r="D50" s="3" t="s">
        <v>107</v>
      </c>
      <c r="E50" s="3" t="s">
        <v>108</v>
      </c>
      <c r="F50" s="3" t="s">
        <v>108</v>
      </c>
      <c r="G50" s="3" t="s">
        <v>108</v>
      </c>
      <c r="H50" s="3" t="s">
        <v>108</v>
      </c>
      <c r="I50" s="3" t="s">
        <v>108</v>
      </c>
      <c r="J50" s="45"/>
    </row>
    <row r="51" spans="1:10" ht="14.5" customHeight="1" x14ac:dyDescent="0.35">
      <c r="A51" s="45"/>
      <c r="B51" s="65" t="s">
        <v>23</v>
      </c>
      <c r="C51" s="67">
        <f>_xlfn.XLOOKUP(ACP3CentralCoast25[[#This Row],[OSRO Name]],ExpirationDates!A:A,ExpirationDates!B:B,"ERROR")</f>
        <v>45338</v>
      </c>
      <c r="D51" s="66" t="s">
        <v>94</v>
      </c>
      <c r="E51" s="66" t="s">
        <v>94</v>
      </c>
      <c r="F51" s="66" t="s">
        <v>94</v>
      </c>
      <c r="G51" s="66" t="s">
        <v>94</v>
      </c>
      <c r="H51" s="66" t="s">
        <v>94</v>
      </c>
      <c r="I51" s="66" t="s">
        <v>94</v>
      </c>
      <c r="J51" s="45"/>
    </row>
    <row r="52" spans="1:10" ht="15.5" x14ac:dyDescent="0.35">
      <c r="A52" s="45"/>
      <c r="B52" s="65" t="s">
        <v>24</v>
      </c>
      <c r="C52" s="67">
        <f>_xlfn.XLOOKUP(ACP3CentralCoast25[[#This Row],[OSRO Name]],ExpirationDates!A:A,ExpirationDates!B:B,"ERROR")</f>
        <v>46286</v>
      </c>
      <c r="D52" s="66" t="s">
        <v>94</v>
      </c>
      <c r="E52" s="66" t="s">
        <v>94</v>
      </c>
      <c r="F52" s="66" t="s">
        <v>94</v>
      </c>
      <c r="G52" s="66" t="s">
        <v>94</v>
      </c>
      <c r="H52" s="66" t="s">
        <v>94</v>
      </c>
      <c r="I52" s="66" t="s">
        <v>94</v>
      </c>
      <c r="J52" s="45"/>
    </row>
    <row r="53" spans="1:10" ht="15.5" x14ac:dyDescent="0.35">
      <c r="A53" s="45"/>
      <c r="B53" s="65" t="s">
        <v>25</v>
      </c>
      <c r="C53" s="67">
        <f>_xlfn.XLOOKUP(ACP3CentralCoast25[[#This Row],[OSRO Name]],ExpirationDates!A:A,ExpirationDates!B:B,"ERROR")</f>
        <v>46550</v>
      </c>
      <c r="D53" s="66" t="s">
        <v>94</v>
      </c>
      <c r="E53" s="66" t="s">
        <v>94</v>
      </c>
      <c r="F53" s="66" t="s">
        <v>94</v>
      </c>
      <c r="G53" s="66" t="s">
        <v>94</v>
      </c>
      <c r="H53" s="66" t="s">
        <v>94</v>
      </c>
      <c r="I53" s="66" t="s">
        <v>94</v>
      </c>
      <c r="J53" s="45"/>
    </row>
    <row r="54" spans="1:10" ht="15.5" x14ac:dyDescent="0.35">
      <c r="A54" s="45"/>
      <c r="B54" s="65" t="s">
        <v>26</v>
      </c>
      <c r="C54" s="67" t="str">
        <f>_xlfn.XLOOKUP(ACP3CentralCoast25[[#This Row],[OSRO Name]],ExpirationDates!A:A,ExpirationDates!B:B,"ERROR")</f>
        <v>Expired</v>
      </c>
      <c r="D54" s="66" t="s">
        <v>94</v>
      </c>
      <c r="E54" s="66" t="s">
        <v>94</v>
      </c>
      <c r="F54" s="66" t="s">
        <v>94</v>
      </c>
      <c r="G54" s="66" t="s">
        <v>94</v>
      </c>
      <c r="H54" s="66" t="s">
        <v>94</v>
      </c>
      <c r="I54" s="66" t="s">
        <v>94</v>
      </c>
      <c r="J54" s="45"/>
    </row>
    <row r="55" spans="1:10" ht="15.5" x14ac:dyDescent="0.35">
      <c r="A55" s="45"/>
      <c r="B55" s="65" t="s">
        <v>27</v>
      </c>
      <c r="C55" s="67">
        <f>_xlfn.XLOOKUP(ACP3CentralCoast25[[#This Row],[OSRO Name]],ExpirationDates!A:A,ExpirationDates!B:B,"ERROR")</f>
        <v>46557</v>
      </c>
      <c r="D55" s="66" t="s">
        <v>94</v>
      </c>
      <c r="E55" s="66" t="s">
        <v>94</v>
      </c>
      <c r="F55" s="66" t="s">
        <v>94</v>
      </c>
      <c r="G55" s="66" t="s">
        <v>94</v>
      </c>
      <c r="H55" s="66" t="s">
        <v>94</v>
      </c>
      <c r="I55" s="66" t="s">
        <v>94</v>
      </c>
      <c r="J55" s="45"/>
    </row>
    <row r="56" spans="1:10" ht="15.5" x14ac:dyDescent="0.35">
      <c r="A56" s="45"/>
      <c r="B56" s="51"/>
      <c r="C56" s="47"/>
      <c r="D56" s="48"/>
      <c r="E56" s="48"/>
      <c r="F56" s="48"/>
      <c r="G56" s="48"/>
      <c r="H56" s="48"/>
      <c r="I56" s="48"/>
      <c r="J56" s="45"/>
    </row>
    <row r="57" spans="1:10" ht="15.65" customHeight="1" x14ac:dyDescent="0.35">
      <c r="A57" s="45"/>
      <c r="B57" s="45"/>
      <c r="C57" s="45"/>
      <c r="D57" s="45"/>
      <c r="E57" s="45"/>
      <c r="F57" s="45"/>
      <c r="G57" s="45"/>
      <c r="H57" s="45"/>
      <c r="I57" s="45"/>
      <c r="J57" s="45"/>
    </row>
    <row r="58" spans="1:10" ht="18.649999999999999" customHeight="1" x14ac:dyDescent="0.35">
      <c r="A58" s="45"/>
      <c r="B58" s="115" t="s">
        <v>46</v>
      </c>
      <c r="C58" s="116"/>
      <c r="D58" s="116"/>
      <c r="E58" s="116"/>
      <c r="F58" s="116"/>
      <c r="G58" s="116"/>
      <c r="H58" s="117"/>
      <c r="I58" s="45"/>
      <c r="J58" s="45"/>
    </row>
    <row r="59" spans="1:10" ht="62.15" customHeight="1" x14ac:dyDescent="0.35">
      <c r="A59" s="45"/>
      <c r="B59" s="36" t="s">
        <v>12</v>
      </c>
      <c r="C59" s="25" t="s">
        <v>13</v>
      </c>
      <c r="D59" s="25" t="s">
        <v>14</v>
      </c>
      <c r="E59" s="25" t="s">
        <v>109</v>
      </c>
      <c r="F59" s="25" t="s">
        <v>48</v>
      </c>
      <c r="G59" s="25" t="s">
        <v>49</v>
      </c>
      <c r="H59" s="25" t="s">
        <v>50</v>
      </c>
      <c r="I59" s="45"/>
      <c r="J59" s="45"/>
    </row>
    <row r="60" spans="1:10" ht="15.5" x14ac:dyDescent="0.35">
      <c r="A60" s="45"/>
      <c r="B60" s="100" t="s">
        <v>51</v>
      </c>
      <c r="C60" s="101">
        <v>47007</v>
      </c>
      <c r="D60" s="102" t="s">
        <v>94</v>
      </c>
      <c r="E60" s="102" t="s">
        <v>94</v>
      </c>
      <c r="F60" s="102" t="s">
        <v>94</v>
      </c>
      <c r="G60" s="102" t="s">
        <v>94</v>
      </c>
      <c r="H60" s="102" t="s">
        <v>94</v>
      </c>
      <c r="I60" s="45"/>
      <c r="J60" s="45"/>
    </row>
    <row r="61" spans="1:10" ht="15.5" x14ac:dyDescent="0.35">
      <c r="A61" s="45"/>
      <c r="B61" s="65" t="s">
        <v>19</v>
      </c>
      <c r="C61" s="67">
        <f>_xlfn.XLOOKUP(ACP4LALBNorth26[[#This Row],[OSRO Name]],ExpirationDates!A:A,ExpirationDates!B:B,"ERROR")</f>
        <v>46451</v>
      </c>
      <c r="D61" s="66" t="s">
        <v>94</v>
      </c>
      <c r="E61" s="66" t="s">
        <v>94</v>
      </c>
      <c r="F61" s="66" t="s">
        <v>94</v>
      </c>
      <c r="G61" s="66" t="s">
        <v>94</v>
      </c>
      <c r="H61" s="66" t="s">
        <v>94</v>
      </c>
      <c r="I61" s="45"/>
      <c r="J61" s="45"/>
    </row>
    <row r="62" spans="1:10" ht="15.5" x14ac:dyDescent="0.35">
      <c r="A62" s="45"/>
      <c r="B62" s="65" t="s">
        <v>20</v>
      </c>
      <c r="C62" s="67">
        <f>_xlfn.XLOOKUP(ACP4LALBNorth26[[#This Row],[OSRO Name]],ExpirationDates!A:A,ExpirationDates!B:B,"ERROR")</f>
        <v>46256</v>
      </c>
      <c r="D62" s="66" t="s">
        <v>94</v>
      </c>
      <c r="E62" s="66" t="s">
        <v>94</v>
      </c>
      <c r="F62" s="66" t="s">
        <v>94</v>
      </c>
      <c r="G62" s="66" t="s">
        <v>94</v>
      </c>
      <c r="H62" s="66" t="s">
        <v>94</v>
      </c>
      <c r="I62" s="45"/>
      <c r="J62" s="45"/>
    </row>
    <row r="63" spans="1:10" ht="15.5" x14ac:dyDescent="0.35">
      <c r="A63" s="45"/>
      <c r="B63" s="56" t="s">
        <v>21</v>
      </c>
      <c r="C63" s="67">
        <f>_xlfn.XLOOKUP(ACP4LALBNorth26[[#This Row],[OSRO Name]],ExpirationDates!A:A,ExpirationDates!B:B,"ERROR")</f>
        <v>46550</v>
      </c>
      <c r="D63" s="3" t="s">
        <v>110</v>
      </c>
      <c r="E63" s="3" t="s">
        <v>103</v>
      </c>
      <c r="F63" s="4" t="s">
        <v>97</v>
      </c>
      <c r="G63" s="4" t="s">
        <v>97</v>
      </c>
      <c r="H63" s="12" t="s">
        <v>94</v>
      </c>
      <c r="I63" s="45"/>
      <c r="J63" s="45"/>
    </row>
    <row r="64" spans="1:10" ht="15.5" x14ac:dyDescent="0.35">
      <c r="A64" s="45"/>
      <c r="B64" s="26" t="s">
        <v>22</v>
      </c>
      <c r="C64" s="67">
        <f>_xlfn.XLOOKUP(ACP4LALBNorth26[[#This Row],[OSRO Name]],ExpirationDates!A:A,ExpirationDates!B:B,"ERROR")</f>
        <v>47273</v>
      </c>
      <c r="D64" s="5" t="s">
        <v>111</v>
      </c>
      <c r="E64" s="3" t="s">
        <v>103</v>
      </c>
      <c r="F64" s="4" t="s">
        <v>96</v>
      </c>
      <c r="G64" s="4" t="s">
        <v>96</v>
      </c>
      <c r="H64" s="4" t="s">
        <v>96</v>
      </c>
      <c r="I64" s="45"/>
      <c r="J64" s="45"/>
    </row>
    <row r="65" spans="1:10" ht="21" hidden="1" customHeight="1" x14ac:dyDescent="0.35">
      <c r="A65" s="45"/>
      <c r="B65" s="65" t="s">
        <v>23</v>
      </c>
      <c r="C65" s="67">
        <f>_xlfn.XLOOKUP(ACP4LALBNorth26[[#This Row],[OSRO Name]],ExpirationDates!A:A,ExpirationDates!B:B,"ERROR")</f>
        <v>45338</v>
      </c>
      <c r="D65" s="66" t="s">
        <v>94</v>
      </c>
      <c r="E65" s="66" t="s">
        <v>94</v>
      </c>
      <c r="F65" s="66" t="s">
        <v>94</v>
      </c>
      <c r="G65" s="66" t="s">
        <v>94</v>
      </c>
      <c r="H65" s="66" t="s">
        <v>94</v>
      </c>
      <c r="I65" s="45"/>
      <c r="J65" s="45"/>
    </row>
    <row r="66" spans="1:10" ht="16.5" x14ac:dyDescent="0.45">
      <c r="A66" s="45"/>
      <c r="B66" s="27" t="s">
        <v>24</v>
      </c>
      <c r="C66" s="67">
        <f>_xlfn.XLOOKUP(ACP4LALBNorth26[[#This Row],[OSRO Name]],ExpirationDates!A:A,ExpirationDates!B:B,"ERROR")</f>
        <v>46286</v>
      </c>
      <c r="D66" s="5" t="s">
        <v>112</v>
      </c>
      <c r="E66" s="4" t="s">
        <v>113</v>
      </c>
      <c r="F66" s="4" t="s">
        <v>113</v>
      </c>
      <c r="G66" s="4" t="s">
        <v>113</v>
      </c>
      <c r="H66" s="4" t="s">
        <v>113</v>
      </c>
      <c r="I66" s="45"/>
      <c r="J66" s="45"/>
    </row>
    <row r="67" spans="1:10" ht="15.5" x14ac:dyDescent="0.35">
      <c r="A67" s="45"/>
      <c r="B67" s="27" t="s">
        <v>25</v>
      </c>
      <c r="C67" s="67">
        <f>_xlfn.XLOOKUP(ACP4LALBNorth26[[#This Row],[OSRO Name]],ExpirationDates!A:A,ExpirationDates!B:B,"ERROR")</f>
        <v>46550</v>
      </c>
      <c r="D67" s="12" t="s">
        <v>114</v>
      </c>
      <c r="E67" s="12" t="s">
        <v>94</v>
      </c>
      <c r="F67" s="12" t="s">
        <v>94</v>
      </c>
      <c r="G67" s="2" t="s">
        <v>115</v>
      </c>
      <c r="H67" s="12" t="s">
        <v>94</v>
      </c>
      <c r="I67" s="45"/>
      <c r="J67" s="45"/>
    </row>
    <row r="68" spans="1:10" ht="15.5" hidden="1" x14ac:dyDescent="0.35">
      <c r="A68" s="45"/>
      <c r="B68" s="65" t="s">
        <v>26</v>
      </c>
      <c r="C68" s="67" t="str">
        <f>_xlfn.XLOOKUP(ACP4LALBNorth26[[#This Row],[OSRO Name]],ExpirationDates!A:A,ExpirationDates!B:B,"ERROR")</f>
        <v>Expired</v>
      </c>
      <c r="D68" s="66" t="s">
        <v>94</v>
      </c>
      <c r="E68" s="66" t="s">
        <v>94</v>
      </c>
      <c r="F68" s="66" t="s">
        <v>94</v>
      </c>
      <c r="G68" s="66" t="s">
        <v>94</v>
      </c>
      <c r="H68" s="66" t="s">
        <v>94</v>
      </c>
      <c r="I68" s="45"/>
      <c r="J68" s="45"/>
    </row>
    <row r="69" spans="1:10" ht="15.5" x14ac:dyDescent="0.35">
      <c r="A69" s="45"/>
      <c r="B69" s="65" t="s">
        <v>27</v>
      </c>
      <c r="C69" s="67">
        <f>_xlfn.XLOOKUP(ACP4LALBNorth26[[#This Row],[OSRO Name]],ExpirationDates!A:A,ExpirationDates!B:B,"ERROR")</f>
        <v>46557</v>
      </c>
      <c r="D69" s="66" t="s">
        <v>94</v>
      </c>
      <c r="E69" s="66" t="s">
        <v>94</v>
      </c>
      <c r="F69" s="66" t="s">
        <v>94</v>
      </c>
      <c r="G69" s="66" t="s">
        <v>94</v>
      </c>
      <c r="H69" s="66" t="s">
        <v>94</v>
      </c>
      <c r="I69" s="45"/>
      <c r="J69" s="45"/>
    </row>
    <row r="70" spans="1:10" ht="15.5" x14ac:dyDescent="0.35">
      <c r="A70" s="45"/>
      <c r="B70" s="46"/>
      <c r="C70" s="47"/>
      <c r="D70" s="48"/>
      <c r="E70" s="48"/>
      <c r="F70" s="48"/>
      <c r="G70" s="48"/>
      <c r="H70" s="48"/>
      <c r="I70" s="45"/>
      <c r="J70" s="45"/>
    </row>
    <row r="71" spans="1:10" ht="15.65" customHeight="1" x14ac:dyDescent="0.35">
      <c r="A71" s="45"/>
      <c r="B71" s="45"/>
      <c r="C71" s="45"/>
      <c r="D71" s="45"/>
      <c r="E71" s="45"/>
      <c r="F71" s="45"/>
      <c r="G71" s="45"/>
      <c r="H71" s="45"/>
      <c r="I71" s="45"/>
      <c r="J71" s="45"/>
    </row>
    <row r="72" spans="1:10" ht="18.649999999999999" customHeight="1" x14ac:dyDescent="0.35">
      <c r="A72" s="45"/>
      <c r="B72" s="118" t="s">
        <v>52</v>
      </c>
      <c r="C72" s="119"/>
      <c r="D72" s="119"/>
      <c r="E72" s="119"/>
      <c r="F72" s="119"/>
      <c r="G72" s="120"/>
      <c r="H72" s="45"/>
      <c r="I72" s="45"/>
      <c r="J72" s="45"/>
    </row>
    <row r="73" spans="1:10" ht="62.15" customHeight="1" x14ac:dyDescent="0.35">
      <c r="A73" s="45"/>
      <c r="B73" s="24" t="s">
        <v>12</v>
      </c>
      <c r="C73" s="25" t="s">
        <v>13</v>
      </c>
      <c r="D73" s="25" t="s">
        <v>14</v>
      </c>
      <c r="E73" s="25" t="s">
        <v>53</v>
      </c>
      <c r="F73" s="25" t="s">
        <v>54</v>
      </c>
      <c r="G73" s="25" t="s">
        <v>55</v>
      </c>
      <c r="H73" s="45"/>
      <c r="I73" s="45"/>
      <c r="J73" s="45"/>
    </row>
    <row r="74" spans="1:10" ht="17.149999999999999" customHeight="1" x14ac:dyDescent="0.35">
      <c r="A74" s="45"/>
      <c r="B74" s="73" t="s">
        <v>51</v>
      </c>
      <c r="C74" s="74">
        <v>47007</v>
      </c>
      <c r="D74" s="12" t="s">
        <v>116</v>
      </c>
      <c r="E74" s="75" t="s">
        <v>117</v>
      </c>
      <c r="F74" s="75" t="s">
        <v>117</v>
      </c>
      <c r="G74" s="12" t="s">
        <v>94</v>
      </c>
      <c r="H74" s="45"/>
      <c r="I74" s="45"/>
      <c r="J74" s="45"/>
    </row>
    <row r="75" spans="1:10" ht="15.65" customHeight="1" x14ac:dyDescent="0.35">
      <c r="A75" s="45"/>
      <c r="B75" s="68" t="s">
        <v>19</v>
      </c>
      <c r="C75" s="67">
        <f>_xlfn.XLOOKUP(ACP5LALBSouth27[[#This Row],[OSRO Name]],ExpirationDates!A:A,ExpirationDates!B:B,"ERROR")</f>
        <v>46451</v>
      </c>
      <c r="D75" s="66" t="s">
        <v>94</v>
      </c>
      <c r="E75" s="66" t="s">
        <v>94</v>
      </c>
      <c r="F75" s="66" t="s">
        <v>94</v>
      </c>
      <c r="G75" s="66" t="s">
        <v>94</v>
      </c>
      <c r="H75" s="45"/>
      <c r="I75" s="45"/>
      <c r="J75" s="45"/>
    </row>
    <row r="76" spans="1:10" ht="15.65" customHeight="1" x14ac:dyDescent="0.35">
      <c r="A76" s="45"/>
      <c r="B76" s="68" t="s">
        <v>20</v>
      </c>
      <c r="C76" s="67">
        <f>_xlfn.XLOOKUP(ACP5LALBSouth27[[#This Row],[OSRO Name]],ExpirationDates!A:A,ExpirationDates!B:B,"ERROR")</f>
        <v>46256</v>
      </c>
      <c r="D76" s="66" t="s">
        <v>94</v>
      </c>
      <c r="E76" s="66" t="s">
        <v>94</v>
      </c>
      <c r="F76" s="66" t="s">
        <v>94</v>
      </c>
      <c r="G76" s="66" t="s">
        <v>94</v>
      </c>
      <c r="H76" s="45"/>
      <c r="I76" s="45"/>
      <c r="J76" s="45"/>
    </row>
    <row r="77" spans="1:10" ht="15.65" customHeight="1" x14ac:dyDescent="0.35">
      <c r="A77" s="45"/>
      <c r="B77" s="56" t="s">
        <v>21</v>
      </c>
      <c r="C77" s="67">
        <f>_xlfn.XLOOKUP(ACP5LALBSouth27[[#This Row],[OSRO Name]],ExpirationDates!A:A,ExpirationDates!B:B,"ERROR")</f>
        <v>46550</v>
      </c>
      <c r="D77" s="3" t="s">
        <v>118</v>
      </c>
      <c r="E77" s="4" t="s">
        <v>96</v>
      </c>
      <c r="F77" s="4" t="s">
        <v>96</v>
      </c>
      <c r="G77" s="4" t="s">
        <v>96</v>
      </c>
      <c r="H77" s="45"/>
      <c r="I77" s="45"/>
      <c r="J77" s="45"/>
    </row>
    <row r="78" spans="1:10" ht="15.65" customHeight="1" x14ac:dyDescent="0.35">
      <c r="A78" s="45"/>
      <c r="B78" s="30" t="s">
        <v>22</v>
      </c>
      <c r="C78" s="67">
        <f>_xlfn.XLOOKUP(ACP5LALBSouth27[[#This Row],[OSRO Name]],ExpirationDates!A:A,ExpirationDates!B:B,"ERROR")</f>
        <v>47273</v>
      </c>
      <c r="D78" s="3" t="s">
        <v>118</v>
      </c>
      <c r="E78" s="4" t="s">
        <v>96</v>
      </c>
      <c r="F78" s="4" t="s">
        <v>96</v>
      </c>
      <c r="G78" s="4" t="s">
        <v>103</v>
      </c>
      <c r="H78" s="45"/>
      <c r="I78" s="45"/>
      <c r="J78" s="45"/>
    </row>
    <row r="79" spans="1:10" ht="15.65" hidden="1" customHeight="1" x14ac:dyDescent="0.35">
      <c r="A79" s="45"/>
      <c r="B79" s="30" t="s">
        <v>23</v>
      </c>
      <c r="C79" s="67">
        <f>_xlfn.XLOOKUP(ACP5LALBSouth27[[#This Row],[OSRO Name]],ExpirationDates!A:A,ExpirationDates!B:B,"ERROR")</f>
        <v>45338</v>
      </c>
      <c r="D79" s="4" t="s">
        <v>119</v>
      </c>
      <c r="E79" s="7" t="s">
        <v>120</v>
      </c>
      <c r="F79" s="7" t="s">
        <v>120</v>
      </c>
      <c r="G79" s="12" t="s">
        <v>94</v>
      </c>
      <c r="H79" s="45"/>
      <c r="I79" s="45"/>
      <c r="J79" s="45"/>
    </row>
    <row r="80" spans="1:10" ht="15.65" customHeight="1" x14ac:dyDescent="0.35">
      <c r="A80" s="45"/>
      <c r="B80" s="30" t="s">
        <v>24</v>
      </c>
      <c r="C80" s="67">
        <f>_xlfn.XLOOKUP(ACP5LALBSouth27[[#This Row],[OSRO Name]],ExpirationDates!A:A,ExpirationDates!B:B,"ERROR")</f>
        <v>46286</v>
      </c>
      <c r="D80" s="4" t="s">
        <v>121</v>
      </c>
      <c r="E80" s="4" t="s">
        <v>96</v>
      </c>
      <c r="F80" s="4" t="s">
        <v>96</v>
      </c>
      <c r="G80" s="4" t="s">
        <v>96</v>
      </c>
      <c r="H80" s="45"/>
      <c r="I80" s="45"/>
      <c r="J80" s="45"/>
    </row>
    <row r="81" spans="1:10" ht="15.65" customHeight="1" x14ac:dyDescent="0.35">
      <c r="A81" s="45"/>
      <c r="B81" s="39" t="s">
        <v>25</v>
      </c>
      <c r="C81" s="67">
        <f>_xlfn.XLOOKUP(ACP5LALBSouth27[[#This Row],[OSRO Name]],ExpirationDates!A:A,ExpirationDates!B:B,"ERROR")</f>
        <v>46550</v>
      </c>
      <c r="D81" s="12" t="s">
        <v>95</v>
      </c>
      <c r="E81" s="7" t="s">
        <v>122</v>
      </c>
      <c r="F81" s="7" t="s">
        <v>122</v>
      </c>
      <c r="G81" s="7" t="s">
        <v>122</v>
      </c>
      <c r="H81" s="45"/>
      <c r="I81" s="45"/>
      <c r="J81" s="45"/>
    </row>
    <row r="82" spans="1:10" ht="15.65" hidden="1" customHeight="1" x14ac:dyDescent="0.35">
      <c r="A82" s="45"/>
      <c r="B82" s="30" t="s">
        <v>26</v>
      </c>
      <c r="C82" s="67" t="str">
        <f>_xlfn.XLOOKUP(ACP5LALBSouth27[[#This Row],[OSRO Name]],ExpirationDates!A:A,ExpirationDates!B:B,"ERROR")</f>
        <v>Expired</v>
      </c>
      <c r="D82" s="12" t="s">
        <v>94</v>
      </c>
      <c r="E82" s="4" t="s">
        <v>123</v>
      </c>
      <c r="F82" s="4" t="s">
        <v>123</v>
      </c>
      <c r="G82" s="12" t="s">
        <v>94</v>
      </c>
      <c r="H82" s="45"/>
      <c r="I82" s="45"/>
      <c r="J82" s="45"/>
    </row>
    <row r="83" spans="1:10" ht="15.65" customHeight="1" x14ac:dyDescent="0.35">
      <c r="A83" s="45"/>
      <c r="B83" s="30" t="s">
        <v>27</v>
      </c>
      <c r="C83" s="67">
        <f>_xlfn.XLOOKUP(ACP5LALBSouth27[[#This Row],[OSRO Name]],ExpirationDates!A:A,ExpirationDates!B:B,"ERROR")</f>
        <v>46557</v>
      </c>
      <c r="D83" s="7" t="s">
        <v>119</v>
      </c>
      <c r="E83" s="7" t="s">
        <v>124</v>
      </c>
      <c r="F83" s="12" t="s">
        <v>94</v>
      </c>
      <c r="G83" s="12" t="s">
        <v>94</v>
      </c>
      <c r="H83" s="45"/>
      <c r="I83" s="45"/>
      <c r="J83" s="45"/>
    </row>
    <row r="84" spans="1:10" ht="15.65" customHeight="1" x14ac:dyDescent="0.35">
      <c r="A84" s="45"/>
      <c r="B84" s="51"/>
      <c r="C84" s="47"/>
      <c r="D84" s="52"/>
      <c r="E84" s="52"/>
      <c r="F84" s="48"/>
      <c r="G84" s="48"/>
      <c r="H84" s="45"/>
      <c r="I84" s="45"/>
      <c r="J84" s="45"/>
    </row>
    <row r="85" spans="1:10" ht="15.65" customHeight="1" x14ac:dyDescent="0.35">
      <c r="A85" s="45"/>
      <c r="B85" s="45"/>
      <c r="C85" s="45"/>
      <c r="D85" s="45"/>
      <c r="E85" s="45"/>
      <c r="F85" s="45"/>
      <c r="G85" s="45"/>
      <c r="H85" s="45"/>
      <c r="I85" s="45"/>
      <c r="J85" s="45"/>
    </row>
    <row r="86" spans="1:10" ht="18.649999999999999" customHeight="1" x14ac:dyDescent="0.35">
      <c r="A86" s="45"/>
      <c r="B86" s="121" t="s">
        <v>56</v>
      </c>
      <c r="C86" s="122"/>
      <c r="D86" s="122"/>
      <c r="E86" s="122"/>
      <c r="F86" s="122"/>
      <c r="G86" s="122"/>
      <c r="H86" s="122"/>
      <c r="I86" s="123"/>
      <c r="J86" s="45"/>
    </row>
    <row r="87" spans="1:10" ht="62.15" customHeight="1" x14ac:dyDescent="0.35">
      <c r="A87" s="45"/>
      <c r="B87" s="24" t="s">
        <v>12</v>
      </c>
      <c r="C87" s="25" t="s">
        <v>13</v>
      </c>
      <c r="D87" s="25" t="s">
        <v>125</v>
      </c>
      <c r="E87" s="25" t="s">
        <v>57</v>
      </c>
      <c r="F87" s="25" t="s">
        <v>58</v>
      </c>
      <c r="G87" s="25" t="s">
        <v>59</v>
      </c>
      <c r="H87" s="25" t="s">
        <v>60</v>
      </c>
      <c r="I87" s="25" t="s">
        <v>61</v>
      </c>
      <c r="J87" s="45"/>
    </row>
    <row r="88" spans="1:10" ht="15.5" x14ac:dyDescent="0.35">
      <c r="A88" s="45"/>
      <c r="B88" s="62" t="s">
        <v>19</v>
      </c>
      <c r="C88" s="67">
        <f>_xlfn.XLOOKUP(ACP6SanDiego28[[#This Row],[OSRO Name]],ExpirationDates!A:A,ExpirationDates!B:B,"ERROR")</f>
        <v>46451</v>
      </c>
      <c r="D88" s="66" t="s">
        <v>94</v>
      </c>
      <c r="E88" s="66" t="s">
        <v>94</v>
      </c>
      <c r="F88" s="66" t="s">
        <v>94</v>
      </c>
      <c r="G88" s="66" t="s">
        <v>94</v>
      </c>
      <c r="H88" s="66" t="s">
        <v>94</v>
      </c>
      <c r="I88" s="66" t="s">
        <v>94</v>
      </c>
      <c r="J88" s="45"/>
    </row>
    <row r="89" spans="1:10" ht="15.5" x14ac:dyDescent="0.35">
      <c r="A89" s="45"/>
      <c r="B89" s="62" t="s">
        <v>20</v>
      </c>
      <c r="C89" s="67">
        <f>_xlfn.XLOOKUP(ACP6SanDiego28[[#This Row],[OSRO Name]],ExpirationDates!A:A,ExpirationDates!B:B,"ERROR")</f>
        <v>46256</v>
      </c>
      <c r="D89" s="66" t="s">
        <v>94</v>
      </c>
      <c r="E89" s="66" t="s">
        <v>94</v>
      </c>
      <c r="F89" s="66" t="s">
        <v>94</v>
      </c>
      <c r="G89" s="66" t="s">
        <v>94</v>
      </c>
      <c r="H89" s="66" t="s">
        <v>94</v>
      </c>
      <c r="I89" s="66" t="s">
        <v>94</v>
      </c>
      <c r="J89" s="45"/>
    </row>
    <row r="90" spans="1:10" ht="15.5" x14ac:dyDescent="0.35">
      <c r="A90" s="45"/>
      <c r="B90" s="26" t="s">
        <v>21</v>
      </c>
      <c r="C90" s="67">
        <f>_xlfn.XLOOKUP(ACP6SanDiego28[[#This Row],[OSRO Name]],ExpirationDates!A:A,ExpirationDates!B:B,"ERROR")</f>
        <v>46550</v>
      </c>
      <c r="D90" s="12" t="s">
        <v>107</v>
      </c>
      <c r="E90" s="4" t="s">
        <v>96</v>
      </c>
      <c r="F90" s="4" t="s">
        <v>96</v>
      </c>
      <c r="G90" s="4" t="s">
        <v>96</v>
      </c>
      <c r="H90" s="4" t="s">
        <v>96</v>
      </c>
      <c r="I90" s="4" t="s">
        <v>96</v>
      </c>
      <c r="J90" s="45"/>
    </row>
    <row r="91" spans="1:10" ht="15.5" x14ac:dyDescent="0.35">
      <c r="A91" s="45"/>
      <c r="B91" s="26" t="s">
        <v>22</v>
      </c>
      <c r="C91" s="67">
        <f>_xlfn.XLOOKUP(ACP6SanDiego28[[#This Row],[OSRO Name]],ExpirationDates!A:A,ExpirationDates!B:B,"ERROR")</f>
        <v>47273</v>
      </c>
      <c r="D91" s="2" t="s">
        <v>107</v>
      </c>
      <c r="E91" s="4" t="s">
        <v>96</v>
      </c>
      <c r="F91" s="4" t="s">
        <v>96</v>
      </c>
      <c r="G91" s="4" t="s">
        <v>96</v>
      </c>
      <c r="H91" s="4" t="s">
        <v>96</v>
      </c>
      <c r="I91" s="4" t="s">
        <v>103</v>
      </c>
      <c r="J91" s="45"/>
    </row>
    <row r="92" spans="1:10" ht="15.5" x14ac:dyDescent="0.35">
      <c r="A92" s="45"/>
      <c r="B92" s="62" t="s">
        <v>23</v>
      </c>
      <c r="C92" s="67">
        <f>_xlfn.XLOOKUP(ACP6SanDiego28[[#This Row],[OSRO Name]],ExpirationDates!A:A,ExpirationDates!B:B,"ERROR")</f>
        <v>45338</v>
      </c>
      <c r="D92" s="66" t="s">
        <v>94</v>
      </c>
      <c r="E92" s="66" t="s">
        <v>94</v>
      </c>
      <c r="F92" s="66" t="s">
        <v>94</v>
      </c>
      <c r="G92" s="66" t="s">
        <v>94</v>
      </c>
      <c r="H92" s="66" t="s">
        <v>94</v>
      </c>
      <c r="I92" s="66" t="s">
        <v>94</v>
      </c>
      <c r="J92" s="45"/>
    </row>
    <row r="93" spans="1:10" ht="16.5" x14ac:dyDescent="0.45">
      <c r="A93" s="45"/>
      <c r="B93" s="26" t="s">
        <v>24</v>
      </c>
      <c r="C93" s="67">
        <f>_xlfn.XLOOKUP(ACP6SanDiego28[[#This Row],[OSRO Name]],ExpirationDates!A:A,ExpirationDates!B:B,"ERROR")</f>
        <v>46286</v>
      </c>
      <c r="D93" s="3" t="s">
        <v>126</v>
      </c>
      <c r="E93" s="4" t="s">
        <v>113</v>
      </c>
      <c r="F93" s="4" t="s">
        <v>113</v>
      </c>
      <c r="G93" s="4" t="s">
        <v>113</v>
      </c>
      <c r="H93" s="4" t="s">
        <v>113</v>
      </c>
      <c r="I93" s="4" t="s">
        <v>113</v>
      </c>
      <c r="J93" s="45"/>
    </row>
    <row r="94" spans="1:10" ht="29" x14ac:dyDescent="0.35">
      <c r="A94" s="45"/>
      <c r="B94" s="30" t="s">
        <v>25</v>
      </c>
      <c r="C94" s="67">
        <f>_xlfn.XLOOKUP(ACP6SanDiego28[[#This Row],[OSRO Name]],ExpirationDates!A:A,ExpirationDates!B:B,"ERROR")</f>
        <v>46550</v>
      </c>
      <c r="D94" s="12" t="s">
        <v>94</v>
      </c>
      <c r="E94" s="7" t="s">
        <v>122</v>
      </c>
      <c r="F94" s="7" t="s">
        <v>122</v>
      </c>
      <c r="G94" s="7" t="s">
        <v>122</v>
      </c>
      <c r="H94" s="7" t="s">
        <v>122</v>
      </c>
      <c r="I94" s="7" t="s">
        <v>122</v>
      </c>
      <c r="J94" s="45"/>
    </row>
    <row r="95" spans="1:10" ht="15.5" x14ac:dyDescent="0.35">
      <c r="A95" s="45"/>
      <c r="B95" s="62" t="s">
        <v>26</v>
      </c>
      <c r="C95" s="67" t="str">
        <f>_xlfn.XLOOKUP(ACP6SanDiego28[[#This Row],[OSRO Name]],ExpirationDates!A:A,ExpirationDates!B:B,"ERROR")</f>
        <v>Expired</v>
      </c>
      <c r="D95" s="66" t="s">
        <v>94</v>
      </c>
      <c r="E95" s="66" t="s">
        <v>94</v>
      </c>
      <c r="F95" s="66" t="s">
        <v>94</v>
      </c>
      <c r="G95" s="66" t="s">
        <v>94</v>
      </c>
      <c r="H95" s="66" t="s">
        <v>94</v>
      </c>
      <c r="I95" s="66" t="s">
        <v>94</v>
      </c>
      <c r="J95" s="45"/>
    </row>
    <row r="96" spans="1:10" ht="15.5" x14ac:dyDescent="0.35">
      <c r="A96" s="45"/>
      <c r="B96" s="62" t="s">
        <v>27</v>
      </c>
      <c r="C96" s="67">
        <f>_xlfn.XLOOKUP(ACP6SanDiego28[[#This Row],[OSRO Name]],ExpirationDates!A:A,ExpirationDates!B:B,"ERROR")</f>
        <v>46557</v>
      </c>
      <c r="D96" s="66" t="s">
        <v>94</v>
      </c>
      <c r="E96" s="66" t="s">
        <v>94</v>
      </c>
      <c r="F96" s="66" t="s">
        <v>94</v>
      </c>
      <c r="G96" s="66" t="s">
        <v>94</v>
      </c>
      <c r="H96" s="66" t="s">
        <v>94</v>
      </c>
      <c r="I96" s="66" t="s">
        <v>94</v>
      </c>
      <c r="J96" s="45"/>
    </row>
    <row r="97" spans="1:10" ht="15.5" x14ac:dyDescent="0.35">
      <c r="A97" s="45"/>
      <c r="B97" s="46"/>
      <c r="C97" s="47"/>
      <c r="D97" s="48"/>
      <c r="E97" s="48"/>
      <c r="F97" s="48"/>
      <c r="G97" s="48"/>
      <c r="H97" s="48"/>
      <c r="I97" s="48"/>
      <c r="J97" s="45"/>
    </row>
    <row r="98" spans="1:10" ht="15.65" customHeight="1" x14ac:dyDescent="0.35">
      <c r="A98" s="45"/>
      <c r="B98" s="45"/>
      <c r="C98" s="45"/>
      <c r="D98" s="45"/>
      <c r="E98" s="45"/>
      <c r="F98" s="45"/>
      <c r="G98" s="45"/>
      <c r="H98" s="45"/>
      <c r="I98" s="45"/>
      <c r="J98" s="45"/>
    </row>
    <row r="99" spans="1:10" ht="17.25" customHeight="1" x14ac:dyDescent="0.45">
      <c r="A99" s="45"/>
      <c r="B99" s="113" t="s">
        <v>62</v>
      </c>
      <c r="C99" s="113"/>
      <c r="D99" s="113"/>
      <c r="E99" s="113"/>
      <c r="F99" s="45"/>
      <c r="G99" s="45"/>
      <c r="H99" s="45"/>
      <c r="I99" s="45"/>
      <c r="J99" s="45"/>
    </row>
    <row r="100" spans="1:10" ht="18.649999999999999" customHeight="1" x14ac:dyDescent="0.35">
      <c r="A100" s="45"/>
      <c r="B100" s="53" t="s">
        <v>63</v>
      </c>
      <c r="C100" s="54" t="s">
        <v>64</v>
      </c>
      <c r="D100" s="54" t="s">
        <v>65</v>
      </c>
      <c r="E100" s="54" t="s">
        <v>66</v>
      </c>
      <c r="F100" s="45"/>
      <c r="G100" s="45"/>
      <c r="H100" s="45"/>
      <c r="I100" s="45"/>
      <c r="J100" s="45"/>
    </row>
    <row r="101" spans="1:10" x14ac:dyDescent="0.35">
      <c r="A101" s="45"/>
      <c r="B101" s="40" t="s">
        <v>67</v>
      </c>
      <c r="C101" s="8" t="s">
        <v>68</v>
      </c>
      <c r="D101" s="4" t="s">
        <v>69</v>
      </c>
      <c r="E101" s="4" t="s">
        <v>70</v>
      </c>
      <c r="F101" s="45"/>
      <c r="G101" s="45"/>
      <c r="H101" s="45"/>
      <c r="I101" s="45"/>
      <c r="J101" s="45"/>
    </row>
    <row r="102" spans="1:10" x14ac:dyDescent="0.35">
      <c r="A102" s="45"/>
      <c r="B102" s="40" t="s">
        <v>71</v>
      </c>
      <c r="C102" s="8" t="s">
        <v>72</v>
      </c>
      <c r="D102" s="4" t="s">
        <v>69</v>
      </c>
      <c r="E102" s="4" t="s">
        <v>70</v>
      </c>
      <c r="F102" s="45"/>
      <c r="G102" s="45"/>
      <c r="H102" s="45"/>
      <c r="I102" s="45"/>
      <c r="J102" s="45"/>
    </row>
    <row r="103" spans="1:10" x14ac:dyDescent="0.35">
      <c r="A103" s="45"/>
      <c r="B103" s="40" t="s">
        <v>73</v>
      </c>
      <c r="C103" s="8" t="s">
        <v>74</v>
      </c>
      <c r="D103" s="4" t="s">
        <v>75</v>
      </c>
      <c r="E103" s="4" t="s">
        <v>70</v>
      </c>
      <c r="F103" s="45"/>
      <c r="G103" s="45"/>
      <c r="H103" s="45"/>
      <c r="I103" s="45"/>
      <c r="J103" s="45"/>
    </row>
    <row r="104" spans="1:10" x14ac:dyDescent="0.35">
      <c r="A104" s="45"/>
      <c r="B104" s="40" t="s">
        <v>76</v>
      </c>
      <c r="C104" s="8" t="s">
        <v>77</v>
      </c>
      <c r="D104" s="4" t="s">
        <v>75</v>
      </c>
      <c r="E104" s="4" t="s">
        <v>70</v>
      </c>
      <c r="F104" s="45"/>
      <c r="G104" s="45"/>
      <c r="H104" s="45"/>
      <c r="I104" s="45"/>
      <c r="J104" s="45"/>
    </row>
    <row r="105" spans="1:10" ht="15.5" x14ac:dyDescent="0.35">
      <c r="A105" s="45"/>
      <c r="B105" s="44" t="s">
        <v>78</v>
      </c>
      <c r="C105" s="8" t="s">
        <v>79</v>
      </c>
      <c r="D105" s="4" t="s">
        <v>75</v>
      </c>
      <c r="E105" s="4" t="s">
        <v>70</v>
      </c>
      <c r="F105" s="45"/>
      <c r="G105" s="45"/>
      <c r="H105" s="45"/>
      <c r="I105" s="45"/>
      <c r="J105" s="45"/>
    </row>
    <row r="106" spans="1:10" ht="15.5" x14ac:dyDescent="0.35">
      <c r="A106" s="45"/>
      <c r="B106" s="41" t="s">
        <v>80</v>
      </c>
      <c r="C106" s="9" t="s">
        <v>81</v>
      </c>
      <c r="D106" s="4" t="s">
        <v>82</v>
      </c>
      <c r="E106" s="4" t="s">
        <v>70</v>
      </c>
      <c r="F106" s="45"/>
      <c r="G106" s="45"/>
      <c r="H106" s="45"/>
      <c r="I106" s="45"/>
      <c r="J106" s="45"/>
    </row>
    <row r="107" spans="1:10" ht="15.5" x14ac:dyDescent="0.35">
      <c r="A107" s="45"/>
      <c r="B107" s="42" t="s">
        <v>83</v>
      </c>
      <c r="C107" s="8" t="s">
        <v>84</v>
      </c>
      <c r="D107" s="4" t="s">
        <v>82</v>
      </c>
      <c r="E107" s="4" t="s">
        <v>70</v>
      </c>
      <c r="F107" s="45"/>
      <c r="G107" s="45"/>
      <c r="H107" s="45"/>
      <c r="I107" s="45"/>
      <c r="J107" s="45"/>
    </row>
    <row r="108" spans="1:10" ht="15.5" x14ac:dyDescent="0.35">
      <c r="A108" s="45"/>
      <c r="B108" s="41" t="s">
        <v>85</v>
      </c>
      <c r="C108" s="3" t="s">
        <v>86</v>
      </c>
      <c r="D108" s="4" t="s">
        <v>87</v>
      </c>
      <c r="E108" s="4" t="s">
        <v>70</v>
      </c>
      <c r="F108" s="45"/>
      <c r="G108" s="45"/>
      <c r="H108" s="45"/>
      <c r="I108" s="45"/>
      <c r="J108" s="45"/>
    </row>
    <row r="109" spans="1:10" ht="15.5" x14ac:dyDescent="0.35">
      <c r="A109" s="45"/>
      <c r="B109" s="43" t="s">
        <v>88</v>
      </c>
      <c r="C109" s="8" t="s">
        <v>89</v>
      </c>
      <c r="D109" s="6" t="s">
        <v>90</v>
      </c>
      <c r="E109" s="6" t="s">
        <v>70</v>
      </c>
      <c r="F109" s="45"/>
      <c r="G109" s="45"/>
      <c r="H109" s="45"/>
      <c r="I109" s="45"/>
      <c r="J109" s="45"/>
    </row>
    <row r="110" spans="1:10" x14ac:dyDescent="0.35">
      <c r="A110" s="45"/>
      <c r="B110" s="45"/>
      <c r="C110" s="45"/>
      <c r="D110" s="45"/>
      <c r="E110" s="45"/>
      <c r="F110" s="45"/>
      <c r="G110" s="45"/>
      <c r="H110" s="45"/>
      <c r="I110" s="45"/>
      <c r="J110" s="45"/>
    </row>
    <row r="111" spans="1:10" x14ac:dyDescent="0.35">
      <c r="A111" s="45"/>
      <c r="B111" s="45"/>
      <c r="C111" s="45"/>
      <c r="D111" s="45"/>
      <c r="E111" s="45"/>
      <c r="F111" s="45"/>
      <c r="G111" s="45"/>
      <c r="H111" s="45"/>
      <c r="I111" s="45"/>
      <c r="J111" s="45"/>
    </row>
    <row r="112" spans="1:10" ht="18.5" x14ac:dyDescent="0.45">
      <c r="A112" s="45"/>
      <c r="B112" s="127" t="s">
        <v>91</v>
      </c>
      <c r="C112" s="127"/>
      <c r="D112" s="45"/>
      <c r="E112" s="45"/>
      <c r="F112" s="45"/>
      <c r="G112" s="45"/>
      <c r="H112" s="45"/>
      <c r="I112" s="45"/>
      <c r="J112" s="45"/>
    </row>
    <row r="113" spans="1:10" x14ac:dyDescent="0.35">
      <c r="A113" s="45"/>
      <c r="B113" s="104" t="s">
        <v>21</v>
      </c>
      <c r="C113" s="105"/>
      <c r="D113" s="45"/>
      <c r="E113" s="45"/>
      <c r="F113" s="45"/>
      <c r="G113" s="45"/>
      <c r="H113" s="45"/>
      <c r="I113" s="45"/>
      <c r="J113" s="45"/>
    </row>
    <row r="114" spans="1:10" x14ac:dyDescent="0.35">
      <c r="A114" s="45"/>
      <c r="B114" s="106" t="s">
        <v>22</v>
      </c>
      <c r="C114" s="107"/>
      <c r="D114" s="45"/>
      <c r="E114" s="45"/>
      <c r="F114" s="45"/>
      <c r="G114" s="45"/>
      <c r="H114" s="45"/>
      <c r="I114" s="45"/>
      <c r="J114" s="45"/>
    </row>
    <row r="115" spans="1:10" x14ac:dyDescent="0.35">
      <c r="A115" s="45"/>
      <c r="B115" s="103" t="s">
        <v>92</v>
      </c>
      <c r="C115" s="103"/>
      <c r="D115" s="45"/>
      <c r="E115" s="45"/>
      <c r="F115" s="45"/>
      <c r="G115" s="45"/>
      <c r="H115" s="45"/>
      <c r="I115" s="45"/>
      <c r="J115" s="45"/>
    </row>
    <row r="116" spans="1:10" x14ac:dyDescent="0.35">
      <c r="A116" s="45"/>
      <c r="B116" s="103"/>
      <c r="C116" s="103"/>
      <c r="D116" s="45"/>
      <c r="E116" s="45"/>
      <c r="F116" s="45"/>
      <c r="G116" s="45"/>
      <c r="H116" s="45"/>
      <c r="I116" s="45"/>
      <c r="J116" s="45"/>
    </row>
    <row r="117" spans="1:10" x14ac:dyDescent="0.35">
      <c r="A117" s="45"/>
      <c r="B117" s="57"/>
      <c r="C117" s="57"/>
      <c r="D117" s="55"/>
      <c r="E117" s="45"/>
      <c r="F117" s="45"/>
      <c r="G117" s="45"/>
      <c r="H117" s="45"/>
      <c r="I117" s="45"/>
      <c r="J117" s="45"/>
    </row>
    <row r="118" spans="1:10" x14ac:dyDescent="0.35">
      <c r="A118" s="55"/>
      <c r="B118" s="57"/>
      <c r="C118" s="57"/>
      <c r="D118" s="55"/>
      <c r="E118" s="45"/>
      <c r="F118" s="45"/>
      <c r="G118" s="45"/>
      <c r="H118" s="45"/>
      <c r="I118" s="45"/>
      <c r="J118" s="45"/>
    </row>
    <row r="119" spans="1:10" x14ac:dyDescent="0.35">
      <c r="A119" s="45"/>
      <c r="B119" s="45"/>
      <c r="C119" s="45"/>
      <c r="D119" s="45"/>
      <c r="E119" s="45"/>
      <c r="F119" s="45"/>
      <c r="G119" s="45"/>
      <c r="H119" s="45"/>
      <c r="I119" s="45"/>
      <c r="J119" s="45"/>
    </row>
  </sheetData>
  <sheetProtection algorithmName="SHA-512" hashValue="EjYPXgRGZjtp9omz3PD2EGeyAz2prPsmkZDiz6THNHWArxbacCksrGbj/fWMe7l/DyBHOVdUgaYhhBs/4ulO5A==" saltValue="nSxpDlyEwQieblN15rocJA==" spinCount="100000" sheet="1" objects="1" scenarios="1"/>
  <mergeCells count="14">
    <mergeCell ref="B114:C114"/>
    <mergeCell ref="B115:C116"/>
    <mergeCell ref="B58:H58"/>
    <mergeCell ref="B72:G72"/>
    <mergeCell ref="B86:I86"/>
    <mergeCell ref="B99:E99"/>
    <mergeCell ref="B112:C112"/>
    <mergeCell ref="B113:C113"/>
    <mergeCell ref="B45:I45"/>
    <mergeCell ref="B3:H3"/>
    <mergeCell ref="B4:H4"/>
    <mergeCell ref="B6:H6"/>
    <mergeCell ref="B19:I19"/>
    <mergeCell ref="B32:I32"/>
  </mergeCells>
  <conditionalFormatting sqref="B105">
    <cfRule type="cellIs" dxfId="0" priority="1" operator="equal">
      <formula>"No Rating"</formula>
    </cfRule>
  </conditionalFormatting>
  <pageMargins left="0.25" right="0.25" top="0.75" bottom="0.75" header="0.3" footer="0.3"/>
  <pageSetup scale="59" fitToWidth="0" fitToHeight="0" orientation="landscape" r:id="rId1"/>
  <rowBreaks count="2" manualBreakCount="2">
    <brk id="43" max="16383" man="1"/>
    <brk id="84" max="16383" man="1"/>
  </rowBreaks>
  <tableParts count="8">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FEED514C80AF649B5DB5121E9AE5BB1" ma:contentTypeVersion="16" ma:contentTypeDescription="Create a new document." ma:contentTypeScope="" ma:versionID="95e9a090dd192d0a64e4108f0cd1bf8b">
  <xsd:schema xmlns:xsd="http://www.w3.org/2001/XMLSchema" xmlns:xs="http://www.w3.org/2001/XMLSchema" xmlns:p="http://schemas.microsoft.com/office/2006/metadata/properties" xmlns:ns2="f6324b88-05d1-44b8-b51e-a55251960bb8" xmlns:ns3="967bc9a5-75b3-4878-87a2-1a148d95501d" targetNamespace="http://schemas.microsoft.com/office/2006/metadata/properties" ma:root="true" ma:fieldsID="debfe2ad254bba4b60947f82ded15c15" ns2:_="" ns3:_="">
    <xsd:import namespace="f6324b88-05d1-44b8-b51e-a55251960bb8"/>
    <xsd:import namespace="967bc9a5-75b3-4878-87a2-1a148d95501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2:TaxCatchAll" minOccurs="0"/>
                <xsd:element ref="ns3:MediaServiceOCR" minOccurs="0"/>
                <xsd:element ref="ns3:lcf76f155ced4ddcb4097134ff3c332f"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324b88-05d1-44b8-b51e-a55251960bb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5f96e98e-6bb7-4be4-8760-2f030a84d3b2}" ma:internalName="TaxCatchAll" ma:showField="CatchAllData" ma:web="f6324b88-05d1-44b8-b51e-a55251960b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7bc9a5-75b3-4878-87a2-1a148d95501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31e3ec-82b2-4510-8c6c-8b9e0fefcef1"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6324b88-05d1-44b8-b51e-a55251960bb8" xsi:nil="true"/>
    <lcf76f155ced4ddcb4097134ff3c332f xmlns="967bc9a5-75b3-4878-87a2-1a148d95501d">
      <Terms xmlns="http://schemas.microsoft.com/office/infopath/2007/PartnerControls"/>
    </lcf76f155ced4ddcb4097134ff3c332f>
    <_dlc_DocId xmlns="f6324b88-05d1-44b8-b51e-a55251960bb8">OSPR-1643552993-6547</_dlc_DocId>
    <_dlc_DocIdUrl xmlns="f6324b88-05d1-44b8-b51e-a55251960bb8">
      <Url>https://cdfw.sharepoint.com/sites/OSPR/CPlan/_layouts/15/DocIdRedir.aspx?ID=OSPR-1643552993-6547</Url>
      <Description>OSPR-1643552993-6547</Description>
    </_dlc_DocIdUrl>
  </documentManagement>
</p:properties>
</file>

<file path=customXml/itemProps1.xml><?xml version="1.0" encoding="utf-8"?>
<ds:datastoreItem xmlns:ds="http://schemas.openxmlformats.org/officeDocument/2006/customXml" ds:itemID="{E66DC134-A69C-4692-9DC0-7B15274150FC}">
  <ds:schemaRefs>
    <ds:schemaRef ds:uri="http://schemas.microsoft.com/sharepoint/v3/contenttype/forms"/>
  </ds:schemaRefs>
</ds:datastoreItem>
</file>

<file path=customXml/itemProps2.xml><?xml version="1.0" encoding="utf-8"?>
<ds:datastoreItem xmlns:ds="http://schemas.openxmlformats.org/officeDocument/2006/customXml" ds:itemID="{9C37A7D5-D66C-4366-8C52-47E44519B4C4}">
  <ds:schemaRefs>
    <ds:schemaRef ds:uri="http://schemas.microsoft.com/sharepoint/events"/>
  </ds:schemaRefs>
</ds:datastoreItem>
</file>

<file path=customXml/itemProps3.xml><?xml version="1.0" encoding="utf-8"?>
<ds:datastoreItem xmlns:ds="http://schemas.openxmlformats.org/officeDocument/2006/customXml" ds:itemID="{F299FD12-8DE7-48B4-9C9B-FBE43BDB6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324b88-05d1-44b8-b51e-a55251960bb8"/>
    <ds:schemaRef ds:uri="967bc9a5-75b3-4878-87a2-1a148d9550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BB4E476-6E90-4841-B36E-CF15B6D040BA}">
  <ds:schemaRefs>
    <ds:schemaRef ds:uri="http://schemas.microsoft.com/office/2006/metadata/properties"/>
    <ds:schemaRef ds:uri="http://schemas.microsoft.com/office/infopath/2007/PartnerControls"/>
    <ds:schemaRef ds:uri="f6324b88-05d1-44b8-b51e-a55251960bb8"/>
    <ds:schemaRef ds:uri="967bc9a5-75b3-4878-87a2-1a148d9550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OSRO MATRIX LEGEND</vt:lpstr>
      <vt:lpstr>OSRO MATRIX</vt:lpstr>
      <vt:lpstr>ExpirationDates</vt:lpstr>
      <vt:lpstr>Revisions Worksheet</vt:lpstr>
    </vt:vector>
  </TitlesOfParts>
  <Manager/>
  <Company>CDFW/OSPR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OSRO Rating Response Matrix</dc:title>
  <dc:subject>Matrix of the OSROs Rating Responses</dc:subject>
  <dc:creator>Vos-Widtfeldt, Elizabeth@Wildlife</dc:creator>
  <cp:keywords/>
  <dc:description/>
  <cp:lastModifiedBy>Hichborn, Paul@Wildlife</cp:lastModifiedBy>
  <cp:revision/>
  <dcterms:created xsi:type="dcterms:W3CDTF">2023-09-18T16:40:36Z</dcterms:created>
  <dcterms:modified xsi:type="dcterms:W3CDTF">2026-06-04T23:46:47Z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0x0101002FEED514C80AF649B5DB5121E9AE5BB1</vt:lpwstr>
  </property>
  <property fmtid="{D5CDD505-2E9C-101B-9397-08002B2CF9AE}" pid="3" name="_dlc_DocIdItemGuid">
    <vt:lpwstr>fa779b59-f52a-4ef1-9ec0-789c91371172</vt:lpwstr>
  </property>
  <property fmtid="{D5CDD505-2E9C-101B-9397-08002B2CF9AE}" pid="4" name="MediaServiceImageTags">
    <vt:lpwstr/>
  </property>
</Properties>
</file>